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S:\Shared Folders\A&amp;A\Calculators\"/>
    </mc:Choice>
  </mc:AlternateContent>
  <xr:revisionPtr revIDLastSave="0" documentId="13_ncr:1_{1A3E6311-7B11-455A-B2BB-A06F1B985594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18-19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4" i="1"/>
  <c r="H3" i="1" l="1"/>
  <c r="D50" i="1" s="1"/>
  <c r="F50" i="1" l="1"/>
  <c r="E50" i="1"/>
  <c r="D7" i="1"/>
  <c r="H12" i="1"/>
  <c r="H10" i="1"/>
  <c r="E35" i="1" l="1"/>
  <c r="D40" i="1"/>
  <c r="F40" i="1" s="1"/>
  <c r="H6" i="1"/>
  <c r="I7" i="1" s="1"/>
  <c r="E40" i="1" l="1"/>
  <c r="D57" i="1"/>
  <c r="H8" i="1"/>
  <c r="D14" i="1"/>
  <c r="D51" i="1"/>
  <c r="D17" i="1"/>
  <c r="D19" i="1" s="1"/>
  <c r="E51" i="1" l="1"/>
  <c r="E52" i="1" s="1"/>
  <c r="D52" i="1"/>
  <c r="F51" i="1"/>
  <c r="F52" i="1" s="1"/>
  <c r="D12" i="1"/>
  <c r="D15" i="1" s="1"/>
  <c r="H11" i="1" s="1"/>
  <c r="I8" i="1"/>
  <c r="D20" i="1"/>
  <c r="D16" i="1" s="1"/>
  <c r="D41" i="1"/>
  <c r="F57" i="1"/>
  <c r="E57" i="1"/>
  <c r="H18" i="1" l="1"/>
  <c r="D18" i="1"/>
  <c r="H14" i="1" s="1"/>
  <c r="H15" i="1" s="1"/>
  <c r="I15" i="1" s="1"/>
  <c r="F41" i="1"/>
  <c r="F42" i="1" s="1"/>
  <c r="E41" i="1"/>
  <c r="E42" i="1" s="1"/>
  <c r="D42" i="1"/>
  <c r="H20" i="1" l="1"/>
  <c r="I18" i="1"/>
  <c r="I23" i="1" l="1"/>
  <c r="I20" i="1"/>
  <c r="I22" i="1" s="1"/>
  <c r="D58" i="1"/>
  <c r="D43" i="1" s="1"/>
  <c r="D44" i="1" s="1"/>
  <c r="E58" i="1" l="1"/>
  <c r="F58" i="1"/>
  <c r="D59" i="1"/>
  <c r="F59" i="1" l="1"/>
  <c r="F43" i="1"/>
  <c r="F44" i="1" s="1"/>
  <c r="E59" i="1"/>
  <c r="E43" i="1"/>
  <c r="E44" i="1" s="1"/>
</calcChain>
</file>

<file path=xl/sharedStrings.xml><?xml version="1.0" encoding="utf-8"?>
<sst xmlns="http://schemas.openxmlformats.org/spreadsheetml/2006/main" count="64" uniqueCount="48">
  <si>
    <t>Corporation Tax</t>
  </si>
  <si>
    <t>Personal Allowance</t>
  </si>
  <si>
    <t>Dividend at 0%</t>
  </si>
  <si>
    <t>Company Profit</t>
  </si>
  <si>
    <t>Salary</t>
  </si>
  <si>
    <t>Net Profit</t>
  </si>
  <si>
    <t>Net - Dividend Paid</t>
  </si>
  <si>
    <t>Basic Rate Threshold</t>
  </si>
  <si>
    <t>Net of the above 2 numbers</t>
  </si>
  <si>
    <t>Total Tax</t>
  </si>
  <si>
    <t>Personal allowance left</t>
  </si>
  <si>
    <t>Salary above pers allowance</t>
  </si>
  <si>
    <t>Salary above basic threshold</t>
  </si>
  <si>
    <t>Tax at 7.5%</t>
  </si>
  <si>
    <t>Tax at 32.5%</t>
  </si>
  <si>
    <t>Tax Amount</t>
  </si>
  <si>
    <t>Only applicable for profits up to £120,000</t>
  </si>
  <si>
    <t>Income in this bracket</t>
  </si>
  <si>
    <t>Free allowance</t>
  </si>
  <si>
    <t>Divis left to tax basic rate</t>
  </si>
  <si>
    <t>Salary over pers limit</t>
  </si>
  <si>
    <t>Amount for higher rate tax</t>
  </si>
  <si>
    <t>up to 150000</t>
  </si>
  <si>
    <t>Effective rate total</t>
  </si>
  <si>
    <t>Effective rate dividends</t>
  </si>
  <si>
    <t>Gross dividends taxable</t>
  </si>
  <si>
    <t>Net Dividends taxable</t>
  </si>
  <si>
    <t>Basic threshold</t>
  </si>
  <si>
    <t>Higher threshold</t>
  </si>
  <si>
    <t>Fields for calculations:</t>
  </si>
  <si>
    <t>Above avail for higher rate</t>
  </si>
  <si>
    <t>Total sales</t>
  </si>
  <si>
    <t>Expenses</t>
  </si>
  <si>
    <t>Tax Summary</t>
  </si>
  <si>
    <t>Dividend</t>
  </si>
  <si>
    <t>Sales</t>
  </si>
  <si>
    <t>Annual</t>
  </si>
  <si>
    <t>Monthly</t>
  </si>
  <si>
    <t>Weekly</t>
  </si>
  <si>
    <t>Personal Tax</t>
  </si>
  <si>
    <t>Company Profits</t>
  </si>
  <si>
    <t>Personal Income Summary</t>
  </si>
  <si>
    <t>Company Profit Summary</t>
  </si>
  <si>
    <t>(enter figure in yellow box)</t>
  </si>
  <si>
    <t>Less Tax</t>
  </si>
  <si>
    <t>Gross Pay</t>
  </si>
  <si>
    <t xml:space="preserve">Take Home Pay </t>
  </si>
  <si>
    <t>Dividend Calculator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</si>
</sst>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9" fontId="2" fillId="0" borderId="0" xfId="0" applyNumberFormat="1" applyFont="1"/>
    <xf numFmtId="43" fontId="0" fillId="0" borderId="0" xfId="1" applyFont="1"/>
    <xf numFmtId="43" fontId="2" fillId="0" borderId="0" xfId="1" applyFont="1"/>
    <xf numFmtId="43" fontId="0" fillId="0" borderId="0" xfId="0" applyNumberFormat="1"/>
    <xf numFmtId="10" fontId="0" fillId="0" borderId="0" xfId="2" applyNumberFormat="1" applyFont="1"/>
    <xf numFmtId="0" fontId="3" fillId="0" borderId="0" xfId="0" applyFont="1" applyBorder="1"/>
    <xf numFmtId="0" fontId="0" fillId="0" borderId="0" xfId="0" applyBorder="1"/>
    <xf numFmtId="43" fontId="0" fillId="0" borderId="0" xfId="1" applyFont="1" applyBorder="1"/>
    <xf numFmtId="10" fontId="0" fillId="0" borderId="0" xfId="0" applyNumberFormat="1" applyBorder="1"/>
    <xf numFmtId="0" fontId="0" fillId="0" borderId="0" xfId="0" applyFont="1" applyBorder="1"/>
    <xf numFmtId="10" fontId="0" fillId="0" borderId="0" xfId="0" applyNumberFormat="1" applyFont="1" applyBorder="1"/>
    <xf numFmtId="0" fontId="0" fillId="2" borderId="0" xfId="0" applyFill="1" applyBorder="1"/>
    <xf numFmtId="43" fontId="3" fillId="2" borderId="0" xfId="1" applyFont="1" applyFill="1" applyBorder="1"/>
    <xf numFmtId="0" fontId="3" fillId="2" borderId="0" xfId="0" applyFont="1" applyFill="1"/>
    <xf numFmtId="43" fontId="3" fillId="2" borderId="0" xfId="1" applyFont="1" applyFill="1"/>
    <xf numFmtId="0" fontId="3" fillId="2" borderId="1" xfId="0" applyFont="1" applyFill="1" applyBorder="1"/>
    <xf numFmtId="0" fontId="0" fillId="2" borderId="1" xfId="0" applyFill="1" applyBorder="1"/>
    <xf numFmtId="43" fontId="0" fillId="2" borderId="1" xfId="0" applyNumberFormat="1" applyFill="1" applyBorder="1"/>
    <xf numFmtId="0" fontId="3" fillId="2" borderId="0" xfId="0" applyFont="1" applyFill="1" applyBorder="1"/>
    <xf numFmtId="0" fontId="4" fillId="0" borderId="0" xfId="0" applyFont="1"/>
    <xf numFmtId="0" fontId="0" fillId="0" borderId="0" xfId="0" applyFill="1"/>
    <xf numFmtId="43" fontId="0" fillId="0" borderId="0" xfId="0" applyNumberFormat="1" applyFill="1"/>
    <xf numFmtId="43" fontId="0" fillId="0" borderId="0" xfId="1" applyFont="1" applyBorder="1" applyAlignment="1">
      <alignment horizontal="right"/>
    </xf>
    <xf numFmtId="0" fontId="0" fillId="0" borderId="0" xfId="0" applyFont="1" applyFill="1" applyBorder="1"/>
    <xf numFmtId="0" fontId="5" fillId="0" borderId="0" xfId="0" applyFont="1"/>
    <xf numFmtId="0" fontId="2" fillId="0" borderId="0" xfId="0" applyFont="1"/>
    <xf numFmtId="0" fontId="3" fillId="0" borderId="0" xfId="0" applyFont="1" applyFill="1"/>
    <xf numFmtId="43" fontId="3" fillId="0" borderId="0" xfId="1" applyFont="1" applyFill="1"/>
    <xf numFmtId="43" fontId="0" fillId="2" borderId="0" xfId="0" applyNumberFormat="1" applyFill="1" applyBorder="1"/>
    <xf numFmtId="0" fontId="7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43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43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0" xfId="0" applyFill="1" applyBorder="1"/>
    <xf numFmtId="0" fontId="0" fillId="6" borderId="6" xfId="0" applyFill="1" applyBorder="1"/>
    <xf numFmtId="0" fontId="3" fillId="6" borderId="7" xfId="0" applyFont="1" applyFill="1" applyBorder="1"/>
    <xf numFmtId="0" fontId="3" fillId="6" borderId="8" xfId="0" applyFont="1" applyFill="1" applyBorder="1"/>
    <xf numFmtId="0" fontId="0" fillId="6" borderId="13" xfId="0" applyFill="1" applyBorder="1"/>
    <xf numFmtId="164" fontId="2" fillId="5" borderId="3" xfId="1" applyNumberFormat="1" applyFont="1" applyFill="1" applyBorder="1" applyProtection="1">
      <protection locked="0"/>
    </xf>
    <xf numFmtId="164" fontId="0" fillId="6" borderId="3" xfId="0" applyNumberFormat="1" applyFill="1" applyBorder="1"/>
    <xf numFmtId="164" fontId="2" fillId="5" borderId="0" xfId="1" applyNumberFormat="1" applyFont="1" applyFill="1" applyBorder="1" applyProtection="1">
      <protection locked="0"/>
    </xf>
    <xf numFmtId="164" fontId="0" fillId="6" borderId="0" xfId="0" applyNumberFormat="1" applyFill="1" applyBorder="1"/>
    <xf numFmtId="164" fontId="0" fillId="3" borderId="0" xfId="0" applyNumberFormat="1" applyFill="1" applyBorder="1"/>
    <xf numFmtId="164" fontId="0" fillId="3" borderId="6" xfId="0" applyNumberFormat="1" applyFill="1" applyBorder="1"/>
    <xf numFmtId="164" fontId="3" fillId="3" borderId="11" xfId="0" applyNumberFormat="1" applyFont="1" applyFill="1" applyBorder="1"/>
    <xf numFmtId="164" fontId="3" fillId="3" borderId="12" xfId="0" applyNumberFormat="1" applyFont="1" applyFill="1" applyBorder="1"/>
    <xf numFmtId="164" fontId="0" fillId="4" borderId="0" xfId="0" applyNumberFormat="1" applyFill="1" applyBorder="1"/>
    <xf numFmtId="164" fontId="0" fillId="4" borderId="6" xfId="0" applyNumberFormat="1" applyFill="1" applyBorder="1"/>
    <xf numFmtId="164" fontId="3" fillId="4" borderId="11" xfId="0" applyNumberFormat="1" applyFont="1" applyFill="1" applyBorder="1"/>
    <xf numFmtId="164" fontId="3" fillId="4" borderId="12" xfId="0" applyNumberFormat="1" applyFont="1" applyFill="1" applyBorder="1"/>
    <xf numFmtId="164" fontId="3" fillId="6" borderId="8" xfId="0" applyNumberFormat="1" applyFont="1" applyFill="1" applyBorder="1"/>
    <xf numFmtId="164" fontId="3" fillId="6" borderId="8" xfId="1" applyNumberFormat="1" applyFont="1" applyFill="1" applyBorder="1"/>
    <xf numFmtId="0" fontId="0" fillId="6" borderId="7" xfId="0" applyFill="1" applyBorder="1"/>
    <xf numFmtId="0" fontId="0" fillId="6" borderId="8" xfId="0" applyFill="1" applyBorder="1"/>
    <xf numFmtId="164" fontId="2" fillId="5" borderId="8" xfId="1" applyNumberFormat="1" applyFont="1" applyFill="1" applyBorder="1" applyProtection="1">
      <protection locked="0"/>
    </xf>
    <xf numFmtId="164" fontId="0" fillId="6" borderId="8" xfId="0" applyNumberFormat="1" applyFill="1" applyBorder="1"/>
    <xf numFmtId="0" fontId="8" fillId="0" borderId="0" xfId="0" applyFont="1"/>
    <xf numFmtId="0" fontId="7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43" fontId="6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164" fontId="0" fillId="5" borderId="0" xfId="1" applyNumberFormat="1" applyFont="1" applyFill="1" applyBorder="1"/>
    <xf numFmtId="164" fontId="0" fillId="5" borderId="6" xfId="1" applyNumberFormat="1" applyFont="1" applyFill="1" applyBorder="1"/>
    <xf numFmtId="0" fontId="3" fillId="5" borderId="0" xfId="0" applyFont="1" applyFill="1" applyBorder="1"/>
    <xf numFmtId="0" fontId="3" fillId="5" borderId="5" xfId="0" applyFont="1" applyFill="1" applyBorder="1"/>
    <xf numFmtId="165" fontId="0" fillId="5" borderId="0" xfId="0" applyNumberFormat="1" applyFont="1" applyFill="1" applyBorder="1"/>
    <xf numFmtId="165" fontId="0" fillId="5" borderId="6" xfId="0" applyNumberFormat="1" applyFont="1" applyFill="1" applyBorder="1"/>
    <xf numFmtId="164" fontId="0" fillId="5" borderId="0" xfId="0" applyNumberFormat="1" applyFont="1" applyFill="1" applyBorder="1"/>
    <xf numFmtId="164" fontId="0" fillId="5" borderId="6" xfId="0" applyNumberFormat="1" applyFont="1" applyFill="1" applyBorder="1"/>
    <xf numFmtId="0" fontId="9" fillId="4" borderId="9" xfId="0" applyFont="1" applyFill="1" applyBorder="1"/>
    <xf numFmtId="0" fontId="9" fillId="4" borderId="10" xfId="0" applyFont="1" applyFill="1" applyBorder="1"/>
    <xf numFmtId="164" fontId="9" fillId="4" borderId="14" xfId="0" applyNumberFormat="1" applyFont="1" applyFill="1" applyBorder="1"/>
    <xf numFmtId="164" fontId="9" fillId="4" borderId="10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9"/>
  <sheetViews>
    <sheetView showGridLines="0" tabSelected="1" topLeftCell="B28" zoomScale="80" zoomScaleNormal="80" workbookViewId="0">
      <selection activeCell="H35" sqref="H35"/>
    </sheetView>
  </sheetViews>
  <sheetFormatPr defaultRowHeight="15" x14ac:dyDescent="0.25"/>
  <cols>
    <col min="1" max="1" width="4.7109375" hidden="1" customWidth="1"/>
    <col min="2" max="2" width="11.140625" customWidth="1"/>
    <col min="4" max="4" width="12.28515625" customWidth="1"/>
    <col min="5" max="5" width="13.7109375" customWidth="1"/>
    <col min="6" max="6" width="15.5703125" customWidth="1"/>
    <col min="8" max="9" width="13.85546875" customWidth="1"/>
  </cols>
  <sheetData>
    <row r="1" spans="2:9" hidden="1" x14ac:dyDescent="0.25"/>
    <row r="2" spans="2:9" ht="18.75" hidden="1" x14ac:dyDescent="0.3">
      <c r="D2" s="20"/>
      <c r="I2" s="14" t="s">
        <v>15</v>
      </c>
    </row>
    <row r="3" spans="2:9" hidden="1" x14ac:dyDescent="0.25">
      <c r="F3" t="s">
        <v>31</v>
      </c>
      <c r="H3" s="2">
        <f>D32</f>
        <v>60000</v>
      </c>
    </row>
    <row r="4" spans="2:9" hidden="1" x14ac:dyDescent="0.25">
      <c r="B4" t="s">
        <v>0</v>
      </c>
      <c r="D4" s="1">
        <v>0.19</v>
      </c>
      <c r="F4" t="s">
        <v>32</v>
      </c>
      <c r="H4" s="3">
        <f>D33</f>
        <v>2000</v>
      </c>
    </row>
    <row r="5" spans="2:9" hidden="1" x14ac:dyDescent="0.25">
      <c r="B5" t="s">
        <v>2</v>
      </c>
      <c r="D5" s="3">
        <v>2000</v>
      </c>
      <c r="F5" t="s">
        <v>4</v>
      </c>
      <c r="H5" s="3">
        <f>D34</f>
        <v>11850</v>
      </c>
    </row>
    <row r="6" spans="2:9" hidden="1" x14ac:dyDescent="0.25">
      <c r="B6" t="s">
        <v>7</v>
      </c>
      <c r="D6" s="3">
        <v>33500</v>
      </c>
      <c r="F6" t="s">
        <v>5</v>
      </c>
      <c r="H6" s="2">
        <f>H3-H4-H5</f>
        <v>46150</v>
      </c>
    </row>
    <row r="7" spans="2:9" hidden="1" x14ac:dyDescent="0.25">
      <c r="B7" t="s">
        <v>8</v>
      </c>
      <c r="D7" s="2">
        <f>+D6-D5</f>
        <v>31500</v>
      </c>
      <c r="F7" s="14" t="s">
        <v>0</v>
      </c>
      <c r="G7" s="14"/>
      <c r="H7" s="15"/>
      <c r="I7" s="15">
        <f>+H6*D4</f>
        <v>8768.5</v>
      </c>
    </row>
    <row r="8" spans="2:9" hidden="1" x14ac:dyDescent="0.25">
      <c r="B8" t="s">
        <v>1</v>
      </c>
      <c r="D8" s="3">
        <v>11850</v>
      </c>
      <c r="F8" t="s">
        <v>6</v>
      </c>
      <c r="H8" s="2">
        <f>+H6-I7</f>
        <v>37381.5</v>
      </c>
      <c r="I8" s="26" t="str">
        <f>IF((H8&lt;=D5),"No dividend tax payable","")</f>
        <v/>
      </c>
    </row>
    <row r="9" spans="2:9" hidden="1" x14ac:dyDescent="0.25">
      <c r="F9" s="2"/>
    </row>
    <row r="10" spans="2:9" hidden="1" x14ac:dyDescent="0.25">
      <c r="F10" s="6" t="s">
        <v>27</v>
      </c>
      <c r="G10" s="7"/>
      <c r="H10" s="8">
        <f>+D6</f>
        <v>33500</v>
      </c>
      <c r="I10" s="9">
        <v>7.4999999999999997E-2</v>
      </c>
    </row>
    <row r="11" spans="2:9" hidden="1" x14ac:dyDescent="0.25">
      <c r="B11" s="25" t="s">
        <v>29</v>
      </c>
      <c r="D11" s="4"/>
      <c r="F11" s="10" t="s">
        <v>17</v>
      </c>
      <c r="G11" s="7"/>
      <c r="H11" s="8">
        <f>IF((D15+D5)&lt;=D6,(D15+D5),D6)</f>
        <v>33500</v>
      </c>
      <c r="I11" s="9"/>
    </row>
    <row r="12" spans="2:9" hidden="1" x14ac:dyDescent="0.25">
      <c r="B12" t="s">
        <v>26</v>
      </c>
      <c r="D12" s="2">
        <f>IF((H8-D5)&lt;=0,0,(H8-D5))</f>
        <v>35381.5</v>
      </c>
      <c r="F12" s="7" t="s">
        <v>18</v>
      </c>
      <c r="G12" s="7"/>
      <c r="H12" s="8">
        <f>-D5</f>
        <v>-2000</v>
      </c>
      <c r="I12" s="7"/>
    </row>
    <row r="13" spans="2:9" hidden="1" x14ac:dyDescent="0.25">
      <c r="D13" s="2"/>
      <c r="F13" s="7"/>
      <c r="G13" s="7"/>
      <c r="H13" s="8"/>
      <c r="I13" s="7"/>
    </row>
    <row r="14" spans="2:9" hidden="1" x14ac:dyDescent="0.25">
      <c r="B14" t="s">
        <v>10</v>
      </c>
      <c r="D14" s="2">
        <f>IF(D8-H5&lt;0,0,(D8-H5))</f>
        <v>0</v>
      </c>
      <c r="F14" s="7" t="s">
        <v>20</v>
      </c>
      <c r="G14" s="7"/>
      <c r="H14" s="8">
        <f>+D18</f>
        <v>0</v>
      </c>
      <c r="I14" s="7"/>
    </row>
    <row r="15" spans="2:9" hidden="1" x14ac:dyDescent="0.25">
      <c r="B15" s="21" t="s">
        <v>19</v>
      </c>
      <c r="C15" s="21"/>
      <c r="D15" s="22">
        <f>IF(H5&gt;D6,0,(D12-D14))</f>
        <v>35381.5</v>
      </c>
      <c r="F15" s="19" t="s">
        <v>13</v>
      </c>
      <c r="G15" s="12"/>
      <c r="H15" s="13">
        <f>IF(SUM(H11:H14)&lt;=0,0,SUM(H11:H14))</f>
        <v>31500</v>
      </c>
      <c r="I15" s="13">
        <f>+H15*0.075</f>
        <v>2362.5</v>
      </c>
    </row>
    <row r="16" spans="2:9" hidden="1" x14ac:dyDescent="0.25">
      <c r="B16" t="s">
        <v>21</v>
      </c>
      <c r="D16" s="4">
        <f>IF((H8&lt;=D5),0,(D20-H10+D17+D19))</f>
        <v>3881.5</v>
      </c>
      <c r="F16" s="7"/>
      <c r="G16" s="7"/>
      <c r="H16" s="8"/>
      <c r="I16" s="7"/>
    </row>
    <row r="17" spans="2:9" hidden="1" x14ac:dyDescent="0.25">
      <c r="B17" t="s">
        <v>11</v>
      </c>
      <c r="D17" s="2">
        <f>IF((H5-D8)&lt;0,0,(H5-D8))</f>
        <v>0</v>
      </c>
      <c r="F17" s="10" t="s">
        <v>28</v>
      </c>
      <c r="G17" s="10"/>
      <c r="H17" s="23" t="s">
        <v>22</v>
      </c>
      <c r="I17" s="11">
        <v>0.32500000000000001</v>
      </c>
    </row>
    <row r="18" spans="2:9" hidden="1" x14ac:dyDescent="0.25">
      <c r="B18" t="s">
        <v>30</v>
      </c>
      <c r="D18" s="2">
        <f>IF((D16&lt;=0),0,-D17)</f>
        <v>0</v>
      </c>
      <c r="F18" s="19" t="s">
        <v>14</v>
      </c>
      <c r="G18" s="19"/>
      <c r="H18" s="13">
        <f>IF((D16)&lt;=0,0,(D16))</f>
        <v>3881.5</v>
      </c>
      <c r="I18" s="13">
        <f>+H18*0.325</f>
        <v>1261.4875</v>
      </c>
    </row>
    <row r="19" spans="2:9" hidden="1" x14ac:dyDescent="0.25">
      <c r="B19" t="s">
        <v>12</v>
      </c>
      <c r="D19" s="2">
        <f>IF(D17&gt;D7,(D6-D17),0)</f>
        <v>0</v>
      </c>
    </row>
    <row r="20" spans="2:9" hidden="1" x14ac:dyDescent="0.25">
      <c r="B20" t="s">
        <v>25</v>
      </c>
      <c r="D20" s="2">
        <f>IF((+H8-D14)&lt;=0,0,(+H8-D14))</f>
        <v>37381.5</v>
      </c>
      <c r="F20" s="16" t="s">
        <v>9</v>
      </c>
      <c r="G20" s="17"/>
      <c r="H20" s="18">
        <f>+H18+H15</f>
        <v>35381.5</v>
      </c>
      <c r="I20" s="18">
        <f>+I18+I15+I7</f>
        <v>12392.487499999999</v>
      </c>
    </row>
    <row r="21" spans="2:9" hidden="1" x14ac:dyDescent="0.25">
      <c r="D21" s="2"/>
      <c r="F21" s="19"/>
      <c r="G21" s="12"/>
      <c r="H21" s="29"/>
      <c r="I21" s="29"/>
    </row>
    <row r="22" spans="2:9" hidden="1" x14ac:dyDescent="0.25">
      <c r="F22" t="s">
        <v>23</v>
      </c>
      <c r="I22" s="5">
        <f>+I20/H4</f>
        <v>6.1962437499999998</v>
      </c>
    </row>
    <row r="23" spans="2:9" hidden="1" x14ac:dyDescent="0.25">
      <c r="C23" s="7"/>
      <c r="D23" s="8"/>
      <c r="F23" s="24" t="s">
        <v>24</v>
      </c>
      <c r="I23" s="5">
        <f>+(I18+I15)/H8</f>
        <v>9.6946016077471484E-2</v>
      </c>
    </row>
    <row r="24" spans="2:9" hidden="1" x14ac:dyDescent="0.25"/>
    <row r="25" spans="2:9" hidden="1" x14ac:dyDescent="0.25"/>
    <row r="26" spans="2:9" hidden="1" x14ac:dyDescent="0.25"/>
    <row r="27" spans="2:9" ht="28.5" hidden="1" customHeight="1" x14ac:dyDescent="0.25"/>
    <row r="28" spans="2:9" ht="18.75" x14ac:dyDescent="0.3">
      <c r="B28" s="77" t="s">
        <v>47</v>
      </c>
    </row>
    <row r="30" spans="2:9" x14ac:dyDescent="0.25">
      <c r="B30" t="s">
        <v>16</v>
      </c>
    </row>
    <row r="31" spans="2:9" ht="15.75" thickBot="1" x14ac:dyDescent="0.3"/>
    <row r="32" spans="2:9" x14ac:dyDescent="0.25">
      <c r="B32" s="50" t="s">
        <v>31</v>
      </c>
      <c r="C32" s="51"/>
      <c r="D32" s="59">
        <v>60000</v>
      </c>
      <c r="E32" s="60" t="s">
        <v>43</v>
      </c>
      <c r="F32" s="52"/>
    </row>
    <row r="33" spans="2:6" x14ac:dyDescent="0.25">
      <c r="B33" s="53" t="s">
        <v>32</v>
      </c>
      <c r="C33" s="54"/>
      <c r="D33" s="61">
        <v>2000</v>
      </c>
      <c r="E33" s="62" t="s">
        <v>43</v>
      </c>
      <c r="F33" s="55"/>
    </row>
    <row r="34" spans="2:6" ht="15.75" thickBot="1" x14ac:dyDescent="0.3">
      <c r="B34" s="73" t="s">
        <v>4</v>
      </c>
      <c r="C34" s="74"/>
      <c r="D34" s="75">
        <v>11850</v>
      </c>
      <c r="E34" s="76" t="s">
        <v>43</v>
      </c>
      <c r="F34" s="58"/>
    </row>
    <row r="35" spans="2:6" ht="15.75" thickBot="1" x14ac:dyDescent="0.3">
      <c r="B35" s="56" t="s">
        <v>3</v>
      </c>
      <c r="C35" s="57"/>
      <c r="D35" s="71"/>
      <c r="E35" s="72">
        <f>D32-D33-D34</f>
        <v>46150</v>
      </c>
      <c r="F35" s="58"/>
    </row>
    <row r="36" spans="2:6" x14ac:dyDescent="0.25">
      <c r="B36" s="27"/>
      <c r="C36" s="27"/>
      <c r="D36" s="28"/>
      <c r="E36" s="21"/>
    </row>
    <row r="37" spans="2:6" ht="15.75" thickBot="1" x14ac:dyDescent="0.3"/>
    <row r="38" spans="2:6" x14ac:dyDescent="0.25">
      <c r="B38" s="78" t="s">
        <v>41</v>
      </c>
      <c r="C38" s="79"/>
      <c r="D38" s="79"/>
      <c r="E38" s="79"/>
      <c r="F38" s="80"/>
    </row>
    <row r="39" spans="2:6" ht="17.25" x14ac:dyDescent="0.4">
      <c r="B39" s="81"/>
      <c r="C39" s="82"/>
      <c r="D39" s="83" t="s">
        <v>36</v>
      </c>
      <c r="E39" s="84" t="s">
        <v>37</v>
      </c>
      <c r="F39" s="85" t="s">
        <v>38</v>
      </c>
    </row>
    <row r="40" spans="2:6" x14ac:dyDescent="0.25">
      <c r="B40" s="81" t="s">
        <v>4</v>
      </c>
      <c r="C40" s="82"/>
      <c r="D40" s="86">
        <f>H5</f>
        <v>11850</v>
      </c>
      <c r="E40" s="86">
        <f>D40/12</f>
        <v>987.5</v>
      </c>
      <c r="F40" s="87">
        <f>D40/52</f>
        <v>227.88461538461539</v>
      </c>
    </row>
    <row r="41" spans="2:6" x14ac:dyDescent="0.25">
      <c r="B41" s="81" t="s">
        <v>34</v>
      </c>
      <c r="C41" s="82"/>
      <c r="D41" s="86">
        <f>H8</f>
        <v>37381.5</v>
      </c>
      <c r="E41" s="86">
        <f>D41/12</f>
        <v>3115.125</v>
      </c>
      <c r="F41" s="87">
        <f t="shared" ref="F41" si="0">D41/52</f>
        <v>718.875</v>
      </c>
    </row>
    <row r="42" spans="2:6" x14ac:dyDescent="0.25">
      <c r="B42" s="89" t="s">
        <v>45</v>
      </c>
      <c r="C42" s="88"/>
      <c r="D42" s="92">
        <f>SUM(D40:D41)</f>
        <v>49231.5</v>
      </c>
      <c r="E42" s="92">
        <f t="shared" ref="E42:F42" si="1">SUM(E40:E41)</f>
        <v>4102.625</v>
      </c>
      <c r="F42" s="93">
        <f t="shared" si="1"/>
        <v>946.75961538461536</v>
      </c>
    </row>
    <row r="43" spans="2:6" ht="15.75" thickBot="1" x14ac:dyDescent="0.3">
      <c r="B43" s="89" t="s">
        <v>44</v>
      </c>
      <c r="C43" s="88"/>
      <c r="D43" s="90">
        <f>-D58</f>
        <v>-3623.9875000000002</v>
      </c>
      <c r="E43" s="90">
        <f>-E58</f>
        <v>-301.99895833333335</v>
      </c>
      <c r="F43" s="91">
        <f>-F58</f>
        <v>-69.692067307692312</v>
      </c>
    </row>
    <row r="44" spans="2:6" ht="16.5" thickBot="1" x14ac:dyDescent="0.3">
      <c r="B44" s="94" t="s">
        <v>46</v>
      </c>
      <c r="C44" s="95"/>
      <c r="D44" s="96">
        <f>SUM(D42:D43)</f>
        <v>45607.512499999997</v>
      </c>
      <c r="E44" s="97">
        <f t="shared" ref="E44:F44" si="2">SUM(E42:E43)</f>
        <v>3800.6260416666664</v>
      </c>
      <c r="F44" s="96">
        <f t="shared" si="2"/>
        <v>877.067548076923</v>
      </c>
    </row>
    <row r="47" spans="2:6" ht="15.75" thickBot="1" x14ac:dyDescent="0.3"/>
    <row r="48" spans="2:6" x14ac:dyDescent="0.25">
      <c r="B48" s="30" t="s">
        <v>42</v>
      </c>
      <c r="C48" s="31"/>
      <c r="D48" s="31"/>
      <c r="E48" s="31"/>
      <c r="F48" s="32"/>
    </row>
    <row r="49" spans="2:6" ht="17.25" x14ac:dyDescent="0.4">
      <c r="B49" s="33"/>
      <c r="C49" s="34"/>
      <c r="D49" s="35" t="s">
        <v>36</v>
      </c>
      <c r="E49" s="36" t="s">
        <v>37</v>
      </c>
      <c r="F49" s="37" t="s">
        <v>38</v>
      </c>
    </row>
    <row r="50" spans="2:6" x14ac:dyDescent="0.25">
      <c r="B50" s="33" t="s">
        <v>35</v>
      </c>
      <c r="C50" s="34"/>
      <c r="D50" s="63">
        <f>H3</f>
        <v>60000</v>
      </c>
      <c r="E50" s="63">
        <f>D50/12</f>
        <v>5000</v>
      </c>
      <c r="F50" s="64">
        <f>D50/52</f>
        <v>1153.8461538461538</v>
      </c>
    </row>
    <row r="51" spans="2:6" ht="15.75" thickBot="1" x14ac:dyDescent="0.3">
      <c r="B51" s="33" t="s">
        <v>32</v>
      </c>
      <c r="C51" s="34"/>
      <c r="D51" s="63">
        <f>H4+H5</f>
        <v>13850</v>
      </c>
      <c r="E51" s="63">
        <f>D51/12</f>
        <v>1154.1666666666667</v>
      </c>
      <c r="F51" s="64">
        <f>D51/52</f>
        <v>266.34615384615387</v>
      </c>
    </row>
    <row r="52" spans="2:6" ht="15.75" thickBot="1" x14ac:dyDescent="0.3">
      <c r="B52" s="46" t="s">
        <v>40</v>
      </c>
      <c r="C52" s="47"/>
      <c r="D52" s="65">
        <f>D50-D51</f>
        <v>46150</v>
      </c>
      <c r="E52" s="65">
        <f t="shared" ref="E52:F52" si="3">E50-E51</f>
        <v>3845.833333333333</v>
      </c>
      <c r="F52" s="66">
        <f t="shared" si="3"/>
        <v>887.5</v>
      </c>
    </row>
    <row r="54" spans="2:6" ht="15.75" thickBot="1" x14ac:dyDescent="0.3"/>
    <row r="55" spans="2:6" x14ac:dyDescent="0.25">
      <c r="B55" s="38" t="s">
        <v>33</v>
      </c>
      <c r="C55" s="39"/>
      <c r="D55" s="39"/>
      <c r="E55" s="39"/>
      <c r="F55" s="40"/>
    </row>
    <row r="56" spans="2:6" ht="17.25" x14ac:dyDescent="0.4">
      <c r="B56" s="41"/>
      <c r="C56" s="42"/>
      <c r="D56" s="43" t="s">
        <v>36</v>
      </c>
      <c r="E56" s="44" t="s">
        <v>37</v>
      </c>
      <c r="F56" s="45" t="s">
        <v>38</v>
      </c>
    </row>
    <row r="57" spans="2:6" x14ac:dyDescent="0.25">
      <c r="B57" s="41" t="s">
        <v>0</v>
      </c>
      <c r="C57" s="42"/>
      <c r="D57" s="67">
        <f>I7</f>
        <v>8768.5</v>
      </c>
      <c r="E57" s="67">
        <f>D57/12</f>
        <v>730.70833333333337</v>
      </c>
      <c r="F57" s="68">
        <f>D57/52</f>
        <v>168.625</v>
      </c>
    </row>
    <row r="58" spans="2:6" ht="15.75" thickBot="1" x14ac:dyDescent="0.3">
      <c r="B58" s="41" t="s">
        <v>39</v>
      </c>
      <c r="C58" s="42"/>
      <c r="D58" s="67">
        <f>I15+I18</f>
        <v>3623.9875000000002</v>
      </c>
      <c r="E58" s="67">
        <f>D58/12</f>
        <v>301.99895833333335</v>
      </c>
      <c r="F58" s="68">
        <f>D58/52</f>
        <v>69.692067307692312</v>
      </c>
    </row>
    <row r="59" spans="2:6" ht="15.75" thickBot="1" x14ac:dyDescent="0.3">
      <c r="B59" s="48" t="s">
        <v>9</v>
      </c>
      <c r="C59" s="49"/>
      <c r="D59" s="69">
        <f>SUM(D57:D58)</f>
        <v>12392.487499999999</v>
      </c>
      <c r="E59" s="69">
        <f t="shared" ref="E59:F59" si="4">SUM(E57:E58)</f>
        <v>1032.7072916666666</v>
      </c>
      <c r="F59" s="70">
        <f t="shared" si="4"/>
        <v>238.3170673076923</v>
      </c>
    </row>
  </sheetData>
  <sheetProtection algorithmName="SHA-512" hashValue="T5SpiGYX9uVY7byv2I9zptKwqXS/3SkLoiQtoYDJsJhwJragOhCx59IArFQ6DhznZUjfC3ikkPMB/UW6Z7wfNA==" saltValue="yzG5YxWRnD0jvBFWyxtnN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hale</dc:creator>
  <cp:lastModifiedBy>Admin</cp:lastModifiedBy>
  <cp:lastPrinted>2018-10-10T11:51:05Z</cp:lastPrinted>
  <dcterms:created xsi:type="dcterms:W3CDTF">2017-12-08T08:57:26Z</dcterms:created>
  <dcterms:modified xsi:type="dcterms:W3CDTF">2018-10-10T11:51:41Z</dcterms:modified>
</cp:coreProperties>
</file>