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S:\Shared Folders\A&amp;A\Calculators\"/>
    </mc:Choice>
  </mc:AlternateContent>
  <xr:revisionPtr revIDLastSave="0" documentId="13_ncr:1_{AD55C7EF-8475-4DC2-A573-DB667E6BFD0D}" xr6:coauthVersionLast="45" xr6:coauthVersionMax="45" xr10:uidLastSave="{00000000-0000-0000-0000-000000000000}"/>
  <bookViews>
    <workbookView xWindow="705" yWindow="270" windowWidth="16860" windowHeight="14940" xr2:uid="{00000000-000D-0000-FFFF-FFFF00000000}"/>
  </bookViews>
  <sheets>
    <sheet name="18-19 TAX CALC" sheetId="1" r:id="rId1"/>
    <sheet name="18-19 SCOTLAND" sheetId="3" state="hidden" r:id="rId2"/>
    <sheet name="Sheet1" sheetId="2" state="hidden" r:id="rId3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D27" i="1"/>
  <c r="D28" i="1"/>
  <c r="D29" i="1"/>
  <c r="D32" i="1"/>
  <c r="I3" i="1"/>
  <c r="I7" i="1"/>
  <c r="J8" i="1"/>
  <c r="I9" i="1"/>
  <c r="D31" i="1"/>
  <c r="D33" i="1"/>
  <c r="D7" i="1"/>
  <c r="D8" i="1"/>
  <c r="D37" i="1"/>
  <c r="D38" i="1"/>
  <c r="D39" i="1"/>
  <c r="E37" i="1"/>
  <c r="E38" i="1"/>
  <c r="E39" i="1"/>
  <c r="H29" i="1"/>
  <c r="D53" i="1"/>
  <c r="I3" i="3"/>
  <c r="I7" i="3"/>
  <c r="J8" i="3"/>
  <c r="D80" i="3"/>
  <c r="G80" i="3"/>
  <c r="D10" i="3"/>
  <c r="I9" i="3"/>
  <c r="D17" i="3"/>
  <c r="D19" i="3"/>
  <c r="D20" i="3"/>
  <c r="I12" i="3"/>
  <c r="I13" i="3"/>
  <c r="D25" i="3"/>
  <c r="I11" i="3"/>
  <c r="D22" i="3"/>
  <c r="D11" i="3"/>
  <c r="D24" i="3"/>
  <c r="D21" i="3"/>
  <c r="D23" i="3"/>
  <c r="I15" i="3"/>
  <c r="I16" i="3"/>
  <c r="J16" i="3"/>
  <c r="I19" i="3"/>
  <c r="J19" i="3"/>
  <c r="D81" i="3"/>
  <c r="G81" i="3"/>
  <c r="G82" i="3"/>
  <c r="E80" i="3"/>
  <c r="E81" i="3"/>
  <c r="E82" i="3"/>
  <c r="D82" i="3"/>
  <c r="D73" i="3"/>
  <c r="G73" i="3"/>
  <c r="D74" i="3"/>
  <c r="G74" i="3"/>
  <c r="G75" i="3"/>
  <c r="E73" i="3"/>
  <c r="E74" i="3"/>
  <c r="E75" i="3"/>
  <c r="D75" i="3"/>
  <c r="D63" i="3"/>
  <c r="G63" i="3"/>
  <c r="D64" i="3"/>
  <c r="G64" i="3"/>
  <c r="G65" i="3"/>
  <c r="G66" i="3"/>
  <c r="G67" i="3"/>
  <c r="E63" i="3"/>
  <c r="E64" i="3"/>
  <c r="E65" i="3"/>
  <c r="E66" i="3"/>
  <c r="E67" i="3"/>
  <c r="D65" i="3"/>
  <c r="D66" i="3"/>
  <c r="D67" i="3"/>
  <c r="E58" i="3"/>
  <c r="D41" i="3"/>
  <c r="E41" i="3"/>
  <c r="D35" i="3"/>
  <c r="D31" i="3"/>
  <c r="D32" i="3"/>
  <c r="D33" i="3"/>
  <c r="D36" i="3"/>
  <c r="D37" i="3"/>
  <c r="D42" i="3"/>
  <c r="E42" i="3"/>
  <c r="E43" i="3"/>
  <c r="D43" i="3"/>
  <c r="H30" i="3"/>
  <c r="H29" i="3"/>
  <c r="H31" i="3"/>
  <c r="H32" i="3"/>
  <c r="H33" i="3"/>
  <c r="H34" i="3"/>
  <c r="J33" i="3"/>
  <c r="J24" i="3"/>
  <c r="J21" i="3"/>
  <c r="J23" i="3"/>
  <c r="I21" i="3"/>
  <c r="J9" i="3"/>
  <c r="H30" i="1"/>
  <c r="H31" i="1"/>
  <c r="H32" i="1"/>
  <c r="H33" i="1"/>
  <c r="H34" i="1"/>
  <c r="J33" i="1"/>
  <c r="D69" i="1"/>
  <c r="G69" i="1"/>
  <c r="E69" i="1"/>
  <c r="I13" i="1"/>
  <c r="I11" i="1"/>
  <c r="E54" i="1"/>
  <c r="D59" i="1"/>
  <c r="G59" i="1"/>
  <c r="E59" i="1"/>
  <c r="D76" i="1"/>
  <c r="D15" i="1"/>
  <c r="D70" i="1"/>
  <c r="D18" i="1"/>
  <c r="D20" i="1"/>
  <c r="E70" i="1"/>
  <c r="E71" i="1"/>
  <c r="D71" i="1"/>
  <c r="G70" i="1"/>
  <c r="G71" i="1"/>
  <c r="D13" i="1"/>
  <c r="D16" i="1"/>
  <c r="I12" i="1"/>
  <c r="J9" i="1"/>
  <c r="D21" i="1"/>
  <c r="D17" i="1"/>
  <c r="D60" i="1"/>
  <c r="G76" i="1"/>
  <c r="E76" i="1"/>
  <c r="I19" i="1"/>
  <c r="D19" i="1"/>
  <c r="I15" i="1"/>
  <c r="I16" i="1"/>
  <c r="J16" i="1"/>
  <c r="G60" i="1"/>
  <c r="G61" i="1"/>
  <c r="E60" i="1"/>
  <c r="E61" i="1"/>
  <c r="D61" i="1"/>
  <c r="I21" i="1"/>
  <c r="J19" i="1"/>
  <c r="J24" i="1"/>
  <c r="J21" i="1"/>
  <c r="J23" i="1"/>
  <c r="D77" i="1"/>
  <c r="D62" i="1"/>
  <c r="D63" i="1"/>
  <c r="E77" i="1"/>
  <c r="G77" i="1"/>
  <c r="D78" i="1"/>
  <c r="G78" i="1"/>
  <c r="G62" i="1"/>
  <c r="G63" i="1"/>
  <c r="E78" i="1"/>
  <c r="E62" i="1"/>
  <c r="E63" i="1"/>
</calcChain>
</file>

<file path=xl/sharedStrings.xml><?xml version="1.0" encoding="utf-8"?>
<sst xmlns="http://schemas.openxmlformats.org/spreadsheetml/2006/main" count="174" uniqueCount="69">
  <si>
    <t>Corporation Tax</t>
  </si>
  <si>
    <t>Personal Allowance</t>
  </si>
  <si>
    <t>Dividend at 0%</t>
  </si>
  <si>
    <t>Company Profit</t>
  </si>
  <si>
    <t>Salary</t>
  </si>
  <si>
    <t>Net Profit</t>
  </si>
  <si>
    <t>Net - Dividend Paid</t>
  </si>
  <si>
    <t>Basic Rate Threshold</t>
  </si>
  <si>
    <t>Net of the above 2 numbers</t>
  </si>
  <si>
    <t>Total Tax</t>
  </si>
  <si>
    <t>Personal allowance left</t>
  </si>
  <si>
    <t>Salary above pers allowance</t>
  </si>
  <si>
    <t>Salary above basic threshold</t>
  </si>
  <si>
    <t>Tax at 7.5%</t>
  </si>
  <si>
    <t>Tax at 32.5%</t>
  </si>
  <si>
    <t>Tax Amount</t>
  </si>
  <si>
    <t>Only applicable for profits up to £120,000</t>
  </si>
  <si>
    <t>Income in this bracket</t>
  </si>
  <si>
    <t>Free allowance</t>
  </si>
  <si>
    <t>Divis left to tax basic rate</t>
  </si>
  <si>
    <t>Salary over pers limit</t>
  </si>
  <si>
    <t>Amount for higher rate tax</t>
  </si>
  <si>
    <t>up to 150000</t>
  </si>
  <si>
    <t>Effective rate total</t>
  </si>
  <si>
    <t>Effective rate dividends</t>
  </si>
  <si>
    <t>Gross dividends taxable</t>
  </si>
  <si>
    <t>Net Dividends taxable</t>
  </si>
  <si>
    <t>Basic threshold</t>
  </si>
  <si>
    <t>Higher threshold</t>
  </si>
  <si>
    <t>Fields for calculations:</t>
  </si>
  <si>
    <t>Above avail for higher rate</t>
  </si>
  <si>
    <t>Total sales</t>
  </si>
  <si>
    <t>Expenses</t>
  </si>
  <si>
    <t>Tax Summary</t>
  </si>
  <si>
    <t>Dividend</t>
  </si>
  <si>
    <t>Sales</t>
  </si>
  <si>
    <t>Annual</t>
  </si>
  <si>
    <t>Monthly</t>
  </si>
  <si>
    <t>Weekly</t>
  </si>
  <si>
    <t>Personal Tax</t>
  </si>
  <si>
    <t>Company Profits</t>
  </si>
  <si>
    <t>Personal Income Summary</t>
  </si>
  <si>
    <t>Company Profit Summary</t>
  </si>
  <si>
    <t>(enter figure in yellow box)</t>
  </si>
  <si>
    <t>Less Tax</t>
  </si>
  <si>
    <t>Gross Pay</t>
  </si>
  <si>
    <t xml:space="preserve">Take Home Pay </t>
  </si>
  <si>
    <t>Dividend Calculator 18/19</t>
  </si>
  <si>
    <t>Higher Rate Threshold</t>
  </si>
  <si>
    <t>PERSONAL INCOME</t>
  </si>
  <si>
    <t>Total</t>
  </si>
  <si>
    <t>Excess @ 7.5%</t>
  </si>
  <si>
    <t>@32.5%</t>
  </si>
  <si>
    <t>Dividends Above £2k</t>
  </si>
  <si>
    <t>Tax Free Allowance</t>
  </si>
  <si>
    <t>Less: Salary</t>
  </si>
  <si>
    <t xml:space="preserve">Remaining Allowance </t>
  </si>
  <si>
    <t>Total Dividend</t>
  </si>
  <si>
    <t>Less Remaining Allowance</t>
  </si>
  <si>
    <t>Gross Taxable Dividend</t>
  </si>
  <si>
    <t>Dividend at 0% (£2k)</t>
  </si>
  <si>
    <t>Dividend at basic rate (7.5%)</t>
  </si>
  <si>
    <t>Dividend &amp; Higher Rate (32.5%)</t>
  </si>
  <si>
    <t>Tax</t>
  </si>
  <si>
    <t>PERSONAL TAX CALCULATION</t>
  </si>
  <si>
    <t>Over £150k</t>
  </si>
  <si>
    <t>Mid Rate Threshold</t>
  </si>
  <si>
    <t>Lower Rate</t>
  </si>
  <si>
    <t>Dividend Calculator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</si>
</sst>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9" fontId="2" fillId="0" borderId="0" xfId="0" applyNumberFormat="1" applyFont="1"/>
    <xf numFmtId="43" fontId="0" fillId="0" borderId="0" xfId="1" applyFont="1"/>
    <xf numFmtId="43" fontId="2" fillId="0" borderId="0" xfId="1" applyFont="1"/>
    <xf numFmtId="43" fontId="0" fillId="0" borderId="0" xfId="0" applyNumberFormat="1"/>
    <xf numFmtId="10" fontId="0" fillId="0" borderId="0" xfId="2" applyNumberFormat="1" applyFont="1"/>
    <xf numFmtId="0" fontId="3" fillId="0" borderId="0" xfId="0" applyFont="1" applyBorder="1"/>
    <xf numFmtId="0" fontId="0" fillId="0" borderId="0" xfId="0" applyBorder="1"/>
    <xf numFmtId="43" fontId="0" fillId="0" borderId="0" xfId="1" applyFont="1" applyBorder="1"/>
    <xf numFmtId="10" fontId="0" fillId="0" borderId="0" xfId="0" applyNumberFormat="1" applyBorder="1"/>
    <xf numFmtId="0" fontId="0" fillId="0" borderId="0" xfId="0" applyFont="1" applyBorder="1"/>
    <xf numFmtId="10" fontId="0" fillId="0" borderId="0" xfId="0" applyNumberFormat="1" applyFont="1" applyBorder="1"/>
    <xf numFmtId="0" fontId="0" fillId="2" borderId="0" xfId="0" applyFill="1" applyBorder="1"/>
    <xf numFmtId="43" fontId="3" fillId="2" borderId="0" xfId="1" applyFont="1" applyFill="1" applyBorder="1"/>
    <xf numFmtId="0" fontId="3" fillId="2" borderId="0" xfId="0" applyFont="1" applyFill="1"/>
    <xf numFmtId="43" fontId="3" fillId="2" borderId="0" xfId="1" applyFont="1" applyFill="1"/>
    <xf numFmtId="0" fontId="3" fillId="2" borderId="1" xfId="0" applyFont="1" applyFill="1" applyBorder="1"/>
    <xf numFmtId="0" fontId="0" fillId="2" borderId="1" xfId="0" applyFill="1" applyBorder="1"/>
    <xf numFmtId="43" fontId="0" fillId="2" borderId="1" xfId="0" applyNumberFormat="1" applyFill="1" applyBorder="1"/>
    <xf numFmtId="0" fontId="3" fillId="2" borderId="0" xfId="0" applyFont="1" applyFill="1" applyBorder="1"/>
    <xf numFmtId="0" fontId="4" fillId="0" borderId="0" xfId="0" applyFont="1"/>
    <xf numFmtId="0" fontId="0" fillId="0" borderId="0" xfId="0" applyFill="1"/>
    <xf numFmtId="43" fontId="0" fillId="0" borderId="0" xfId="0" applyNumberFormat="1" applyFill="1"/>
    <xf numFmtId="43" fontId="0" fillId="0" borderId="0" xfId="1" applyFont="1" applyBorder="1" applyAlignment="1">
      <alignment horizontal="right"/>
    </xf>
    <xf numFmtId="0" fontId="0" fillId="0" borderId="0" xfId="0" applyFont="1" applyFill="1" applyBorder="1"/>
    <xf numFmtId="0" fontId="5" fillId="0" borderId="0" xfId="0" applyFont="1"/>
    <xf numFmtId="0" fontId="2" fillId="0" borderId="0" xfId="0" applyFont="1"/>
    <xf numFmtId="0" fontId="3" fillId="0" borderId="0" xfId="0" applyFont="1" applyFill="1"/>
    <xf numFmtId="43" fontId="3" fillId="0" borderId="0" xfId="1" applyFont="1" applyFill="1"/>
    <xf numFmtId="43" fontId="0" fillId="2" borderId="0" xfId="0" applyNumberFormat="1" applyFill="1" applyBorder="1"/>
    <xf numFmtId="0" fontId="7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43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43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0" xfId="0" applyFill="1" applyBorder="1"/>
    <xf numFmtId="0" fontId="0" fillId="6" borderId="6" xfId="0" applyFill="1" applyBorder="1"/>
    <xf numFmtId="0" fontId="3" fillId="6" borderId="7" xfId="0" applyFont="1" applyFill="1" applyBorder="1"/>
    <xf numFmtId="0" fontId="3" fillId="6" borderId="8" xfId="0" applyFont="1" applyFill="1" applyBorder="1"/>
    <xf numFmtId="0" fontId="0" fillId="6" borderId="13" xfId="0" applyFill="1" applyBorder="1"/>
    <xf numFmtId="164" fontId="2" fillId="5" borderId="3" xfId="1" applyNumberFormat="1" applyFont="1" applyFill="1" applyBorder="1" applyProtection="1">
      <protection locked="0"/>
    </xf>
    <xf numFmtId="164" fontId="0" fillId="6" borderId="3" xfId="0" applyNumberFormat="1" applyFill="1" applyBorder="1"/>
    <xf numFmtId="164" fontId="2" fillId="5" borderId="0" xfId="1" applyNumberFormat="1" applyFont="1" applyFill="1" applyBorder="1" applyProtection="1">
      <protection locked="0"/>
    </xf>
    <xf numFmtId="164" fontId="0" fillId="6" borderId="0" xfId="0" applyNumberFormat="1" applyFill="1" applyBorder="1"/>
    <xf numFmtId="164" fontId="0" fillId="3" borderId="0" xfId="0" applyNumberFormat="1" applyFill="1" applyBorder="1"/>
    <xf numFmtId="164" fontId="0" fillId="3" borderId="6" xfId="0" applyNumberFormat="1" applyFill="1" applyBorder="1"/>
    <xf numFmtId="164" fontId="3" fillId="3" borderId="11" xfId="0" applyNumberFormat="1" applyFont="1" applyFill="1" applyBorder="1"/>
    <xf numFmtId="164" fontId="3" fillId="3" borderId="12" xfId="0" applyNumberFormat="1" applyFont="1" applyFill="1" applyBorder="1"/>
    <xf numFmtId="164" fontId="0" fillId="4" borderId="0" xfId="0" applyNumberFormat="1" applyFill="1" applyBorder="1"/>
    <xf numFmtId="164" fontId="0" fillId="4" borderId="6" xfId="0" applyNumberFormat="1" applyFill="1" applyBorder="1"/>
    <xf numFmtId="164" fontId="3" fillId="4" borderId="11" xfId="0" applyNumberFormat="1" applyFont="1" applyFill="1" applyBorder="1"/>
    <xf numFmtId="164" fontId="3" fillId="4" borderId="12" xfId="0" applyNumberFormat="1" applyFont="1" applyFill="1" applyBorder="1"/>
    <xf numFmtId="164" fontId="3" fillId="6" borderId="8" xfId="0" applyNumberFormat="1" applyFont="1" applyFill="1" applyBorder="1"/>
    <xf numFmtId="164" fontId="3" fillId="6" borderId="8" xfId="1" applyNumberFormat="1" applyFont="1" applyFill="1" applyBorder="1"/>
    <xf numFmtId="0" fontId="0" fillId="6" borderId="7" xfId="0" applyFill="1" applyBorder="1"/>
    <xf numFmtId="0" fontId="0" fillId="6" borderId="8" xfId="0" applyFill="1" applyBorder="1"/>
    <xf numFmtId="164" fontId="2" fillId="5" borderId="8" xfId="1" applyNumberFormat="1" applyFont="1" applyFill="1" applyBorder="1" applyProtection="1">
      <protection locked="0"/>
    </xf>
    <xf numFmtId="164" fontId="0" fillId="6" borderId="8" xfId="0" applyNumberFormat="1" applyFill="1" applyBorder="1"/>
    <xf numFmtId="0" fontId="8" fillId="0" borderId="0" xfId="0" applyFont="1"/>
    <xf numFmtId="0" fontId="7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43" fontId="6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164" fontId="0" fillId="5" borderId="0" xfId="1" applyNumberFormat="1" applyFont="1" applyFill="1" applyBorder="1"/>
    <xf numFmtId="164" fontId="0" fillId="5" borderId="6" xfId="1" applyNumberFormat="1" applyFont="1" applyFill="1" applyBorder="1"/>
    <xf numFmtId="0" fontId="3" fillId="5" borderId="0" xfId="0" applyFont="1" applyFill="1" applyBorder="1"/>
    <xf numFmtId="0" fontId="3" fillId="5" borderId="5" xfId="0" applyFont="1" applyFill="1" applyBorder="1"/>
    <xf numFmtId="165" fontId="0" fillId="5" borderId="0" xfId="0" applyNumberFormat="1" applyFont="1" applyFill="1" applyBorder="1"/>
    <xf numFmtId="165" fontId="0" fillId="5" borderId="6" xfId="0" applyNumberFormat="1" applyFont="1" applyFill="1" applyBorder="1"/>
    <xf numFmtId="164" fontId="0" fillId="5" borderId="0" xfId="0" applyNumberFormat="1" applyFont="1" applyFill="1" applyBorder="1"/>
    <xf numFmtId="164" fontId="0" fillId="5" borderId="6" xfId="0" applyNumberFormat="1" applyFont="1" applyFill="1" applyBorder="1"/>
    <xf numFmtId="0" fontId="9" fillId="4" borderId="9" xfId="0" applyFont="1" applyFill="1" applyBorder="1"/>
    <xf numFmtId="0" fontId="9" fillId="4" borderId="10" xfId="0" applyFont="1" applyFill="1" applyBorder="1"/>
    <xf numFmtId="164" fontId="9" fillId="4" borderId="14" xfId="0" applyNumberFormat="1" applyFont="1" applyFill="1" applyBorder="1"/>
    <xf numFmtId="164" fontId="9" fillId="4" borderId="10" xfId="0" applyNumberFormat="1" applyFont="1" applyFill="1" applyBorder="1"/>
    <xf numFmtId="43" fontId="10" fillId="0" borderId="0" xfId="1" applyFont="1"/>
    <xf numFmtId="0" fontId="3" fillId="0" borderId="0" xfId="0" applyFont="1"/>
    <xf numFmtId="43" fontId="3" fillId="0" borderId="0" xfId="0" applyNumberFormat="1" applyFont="1"/>
    <xf numFmtId="0" fontId="0" fillId="0" borderId="0" xfId="0" quotePrefix="1"/>
    <xf numFmtId="43" fontId="0" fillId="0" borderId="0" xfId="0" quotePrefix="1" applyNumberFormat="1"/>
    <xf numFmtId="43" fontId="0" fillId="0" borderId="0" xfId="1" quotePrefix="1" applyFont="1"/>
    <xf numFmtId="164" fontId="3" fillId="3" borderId="15" xfId="0" applyNumberFormat="1" applyFont="1" applyFill="1" applyBorder="1"/>
    <xf numFmtId="164" fontId="3" fillId="4" borderId="15" xfId="0" applyNumberFormat="1" applyFont="1" applyFill="1" applyBorder="1"/>
    <xf numFmtId="43" fontId="0" fillId="0" borderId="1" xfId="0" applyNumberFormat="1" applyBorder="1"/>
    <xf numFmtId="43" fontId="3" fillId="0" borderId="16" xfId="0" quotePrefix="1" applyNumberFormat="1" applyFont="1" applyBorder="1"/>
    <xf numFmtId="43" fontId="3" fillId="0" borderId="16" xfId="0" applyNumberFormat="1" applyFont="1" applyBorder="1"/>
    <xf numFmtId="43" fontId="3" fillId="0" borderId="0" xfId="0" quotePrefix="1" applyNumberFormat="1" applyFont="1" applyBorder="1"/>
    <xf numFmtId="43" fontId="6" fillId="0" borderId="0" xfId="0" quotePrefix="1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0" fontId="7" fillId="0" borderId="0" xfId="0" applyFont="1"/>
    <xf numFmtId="9" fontId="0" fillId="0" borderId="0" xfId="0" applyNumberFormat="1"/>
    <xf numFmtId="164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78"/>
  <sheetViews>
    <sheetView showGridLines="0" tabSelected="1" topLeftCell="B47" zoomScale="70" zoomScaleNormal="70" workbookViewId="0">
      <selection activeCell="I59" sqref="I59"/>
    </sheetView>
  </sheetViews>
  <sheetFormatPr defaultRowHeight="15" x14ac:dyDescent="0.25"/>
  <cols>
    <col min="1" max="1" width="4.7109375" hidden="1" customWidth="1"/>
    <col min="2" max="2" width="10.140625" customWidth="1"/>
    <col min="3" max="3" width="22.5703125" customWidth="1"/>
    <col min="4" max="4" width="16.140625" customWidth="1"/>
    <col min="5" max="5" width="16.7109375" customWidth="1"/>
    <col min="6" max="6" width="4.42578125" customWidth="1"/>
    <col min="7" max="7" width="19.140625" customWidth="1"/>
    <col min="8" max="10" width="17.140625" customWidth="1"/>
    <col min="11" max="11" width="12" bestFit="1" customWidth="1"/>
    <col min="12" max="12" width="11.28515625" bestFit="1" customWidth="1"/>
  </cols>
  <sheetData>
    <row r="1" spans="2:12" hidden="1" x14ac:dyDescent="0.25"/>
    <row r="2" spans="2:12" ht="18.75" hidden="1" x14ac:dyDescent="0.3">
      <c r="D2" s="20"/>
      <c r="J2" s="14" t="s">
        <v>15</v>
      </c>
    </row>
    <row r="3" spans="2:12" hidden="1" x14ac:dyDescent="0.25">
      <c r="G3" t="s">
        <v>31</v>
      </c>
      <c r="I3" s="2">
        <f>D51</f>
        <v>0</v>
      </c>
    </row>
    <row r="4" spans="2:12" hidden="1" x14ac:dyDescent="0.25">
      <c r="B4" t="s">
        <v>0</v>
      </c>
      <c r="D4" s="1">
        <v>0.19</v>
      </c>
      <c r="G4" t="s">
        <v>32</v>
      </c>
      <c r="I4" s="3">
        <f>D52</f>
        <v>0</v>
      </c>
    </row>
    <row r="5" spans="2:12" hidden="1" x14ac:dyDescent="0.25">
      <c r="B5" t="s">
        <v>2</v>
      </c>
      <c r="D5" s="3">
        <v>2000</v>
      </c>
      <c r="G5" t="s">
        <v>4</v>
      </c>
      <c r="I5" s="3">
        <v>8640</v>
      </c>
    </row>
    <row r="6" spans="2:12" hidden="1" x14ac:dyDescent="0.25">
      <c r="B6" t="s">
        <v>48</v>
      </c>
      <c r="D6" s="3">
        <v>46350</v>
      </c>
      <c r="I6" s="3"/>
    </row>
    <row r="7" spans="2:12" hidden="1" x14ac:dyDescent="0.25">
      <c r="B7" t="s">
        <v>7</v>
      </c>
      <c r="D7" s="98">
        <f>D6-D9</f>
        <v>33850</v>
      </c>
      <c r="G7" t="s">
        <v>5</v>
      </c>
      <c r="I7" s="2">
        <f>I3-I4-I5</f>
        <v>-8640</v>
      </c>
    </row>
    <row r="8" spans="2:12" hidden="1" x14ac:dyDescent="0.25">
      <c r="B8" t="s">
        <v>8</v>
      </c>
      <c r="D8" s="2">
        <f>+D7-D5</f>
        <v>31850</v>
      </c>
      <c r="G8" s="14" t="s">
        <v>0</v>
      </c>
      <c r="H8" s="14"/>
      <c r="I8" s="15"/>
      <c r="J8" s="15">
        <f>+I7*D4</f>
        <v>-1641.6</v>
      </c>
    </row>
    <row r="9" spans="2:12" hidden="1" x14ac:dyDescent="0.25">
      <c r="B9" t="s">
        <v>1</v>
      </c>
      <c r="D9" s="3">
        <v>12500</v>
      </c>
      <c r="G9" t="s">
        <v>6</v>
      </c>
      <c r="I9" s="2">
        <f>+I7-J8</f>
        <v>-6998.4</v>
      </c>
      <c r="J9" s="26" t="str">
        <f>IF((I9&lt;=D5),"No dividend tax payable","")</f>
        <v>No dividend tax payable</v>
      </c>
      <c r="L9" s="4"/>
    </row>
    <row r="10" spans="2:12" hidden="1" x14ac:dyDescent="0.25">
      <c r="G10" s="2"/>
      <c r="L10" s="4"/>
    </row>
    <row r="11" spans="2:12" hidden="1" x14ac:dyDescent="0.25">
      <c r="G11" s="6" t="s">
        <v>27</v>
      </c>
      <c r="H11" s="7"/>
      <c r="I11" s="8">
        <f>+D7</f>
        <v>33850</v>
      </c>
      <c r="J11" s="9">
        <v>7.4999999999999997E-2</v>
      </c>
    </row>
    <row r="12" spans="2:12" hidden="1" x14ac:dyDescent="0.25">
      <c r="B12" s="25" t="s">
        <v>29</v>
      </c>
      <c r="D12" s="4"/>
      <c r="G12" s="10" t="s">
        <v>17</v>
      </c>
      <c r="H12" s="7"/>
      <c r="I12" s="8">
        <f>IF((D16+D5)&lt;=D7,(D16+D5),D7)</f>
        <v>-1860</v>
      </c>
      <c r="J12" s="9"/>
    </row>
    <row r="13" spans="2:12" hidden="1" x14ac:dyDescent="0.25">
      <c r="B13" t="s">
        <v>26</v>
      </c>
      <c r="D13" s="2">
        <f>IF((I9-D5)&lt;=0,0,(I9-D5))</f>
        <v>0</v>
      </c>
      <c r="E13" s="4"/>
      <c r="F13" s="4"/>
      <c r="G13" s="7" t="s">
        <v>18</v>
      </c>
      <c r="H13" s="7"/>
      <c r="I13" s="8">
        <f>-D5</f>
        <v>-2000</v>
      </c>
      <c r="J13" s="7"/>
    </row>
    <row r="14" spans="2:12" hidden="1" x14ac:dyDescent="0.25">
      <c r="D14" s="2"/>
      <c r="G14" s="7"/>
      <c r="H14" s="7"/>
      <c r="I14" s="8"/>
      <c r="J14" s="7"/>
    </row>
    <row r="15" spans="2:12" hidden="1" x14ac:dyDescent="0.25">
      <c r="B15" t="s">
        <v>10</v>
      </c>
      <c r="D15" s="2">
        <f>IF(D9-I5&lt;0,0,(D9-I5))</f>
        <v>3860</v>
      </c>
      <c r="G15" s="7" t="s">
        <v>20</v>
      </c>
      <c r="H15" s="7"/>
      <c r="I15" s="8">
        <f>+D19</f>
        <v>0</v>
      </c>
      <c r="J15" s="7"/>
    </row>
    <row r="16" spans="2:12" hidden="1" x14ac:dyDescent="0.25">
      <c r="B16" s="21" t="s">
        <v>19</v>
      </c>
      <c r="C16" s="21"/>
      <c r="D16" s="22">
        <f>IF(I5&gt;D7,0,(D13-D15))</f>
        <v>-3860</v>
      </c>
      <c r="G16" s="19" t="s">
        <v>13</v>
      </c>
      <c r="H16" s="12"/>
      <c r="I16" s="13">
        <f>IF(SUM(I12:I15)&lt;=0,0,SUM(I12:I15))</f>
        <v>0</v>
      </c>
      <c r="J16" s="13">
        <f>+I16*0.075</f>
        <v>0</v>
      </c>
    </row>
    <row r="17" spans="2:10" hidden="1" x14ac:dyDescent="0.25">
      <c r="B17" t="s">
        <v>21</v>
      </c>
      <c r="D17" s="4">
        <f>IF((I9&lt;=D5),0,(D21-I11+D18+D20))</f>
        <v>0</v>
      </c>
      <c r="G17" s="7"/>
      <c r="H17" s="7"/>
      <c r="I17" s="8"/>
      <c r="J17" s="7"/>
    </row>
    <row r="18" spans="2:10" hidden="1" x14ac:dyDescent="0.25">
      <c r="B18" t="s">
        <v>11</v>
      </c>
      <c r="D18" s="2">
        <f>IF((I5-D9)&lt;0,0,(I5-D9))</f>
        <v>0</v>
      </c>
      <c r="G18" s="10" t="s">
        <v>28</v>
      </c>
      <c r="H18" s="10"/>
      <c r="I18" s="23" t="s">
        <v>22</v>
      </c>
      <c r="J18" s="11">
        <v>0.32500000000000001</v>
      </c>
    </row>
    <row r="19" spans="2:10" hidden="1" x14ac:dyDescent="0.25">
      <c r="B19" t="s">
        <v>30</v>
      </c>
      <c r="D19" s="2">
        <f>IF((D17&lt;=0),0,-D18)</f>
        <v>0</v>
      </c>
      <c r="G19" s="19" t="s">
        <v>14</v>
      </c>
      <c r="H19" s="19"/>
      <c r="I19" s="13">
        <f>IF((D17)&lt;=0,0,(D17))</f>
        <v>0</v>
      </c>
      <c r="J19" s="13">
        <f>+I19*0.325</f>
        <v>0</v>
      </c>
    </row>
    <row r="20" spans="2:10" hidden="1" x14ac:dyDescent="0.25">
      <c r="B20" t="s">
        <v>12</v>
      </c>
      <c r="D20" s="2">
        <f>IF(D18&gt;D8,(D7-D18),0)</f>
        <v>0</v>
      </c>
    </row>
    <row r="21" spans="2:10" hidden="1" x14ac:dyDescent="0.25">
      <c r="B21" t="s">
        <v>25</v>
      </c>
      <c r="D21" s="2">
        <f>IF((+I9-D15)&lt;=0,0,(+I9-D15))</f>
        <v>0</v>
      </c>
      <c r="G21" s="16" t="s">
        <v>9</v>
      </c>
      <c r="H21" s="17"/>
      <c r="I21" s="18">
        <f>+I19+I16</f>
        <v>0</v>
      </c>
      <c r="J21" s="18">
        <f>+J19+J16+J8</f>
        <v>-1641.6</v>
      </c>
    </row>
    <row r="22" spans="2:10" hidden="1" x14ac:dyDescent="0.25">
      <c r="D22" s="2"/>
      <c r="G22" s="19"/>
      <c r="H22" s="12"/>
      <c r="I22" s="29"/>
      <c r="J22" s="29"/>
    </row>
    <row r="23" spans="2:10" hidden="1" x14ac:dyDescent="0.25">
      <c r="G23" t="s">
        <v>23</v>
      </c>
      <c r="J23" s="5" t="e">
        <f>+J21/I4</f>
        <v>#DIV/0!</v>
      </c>
    </row>
    <row r="24" spans="2:10" hidden="1" x14ac:dyDescent="0.25">
      <c r="C24" s="7"/>
      <c r="D24" s="8"/>
      <c r="G24" s="24" t="s">
        <v>24</v>
      </c>
      <c r="J24" s="5">
        <f>+(J19+J16)/I9</f>
        <v>0</v>
      </c>
    </row>
    <row r="25" spans="2:10" hidden="1" x14ac:dyDescent="0.25">
      <c r="B25" s="112" t="s">
        <v>64</v>
      </c>
    </row>
    <row r="26" spans="2:10" hidden="1" x14ac:dyDescent="0.25"/>
    <row r="27" spans="2:10" hidden="1" x14ac:dyDescent="0.25">
      <c r="B27" t="s">
        <v>54</v>
      </c>
      <c r="D27" s="4">
        <f>D9</f>
        <v>12500</v>
      </c>
    </row>
    <row r="28" spans="2:10" hidden="1" x14ac:dyDescent="0.25">
      <c r="B28" t="s">
        <v>55</v>
      </c>
      <c r="D28" s="4">
        <f>I5</f>
        <v>8640</v>
      </c>
      <c r="G28" t="s">
        <v>49</v>
      </c>
    </row>
    <row r="29" spans="2:10" hidden="1" x14ac:dyDescent="0.25">
      <c r="B29" s="99" t="s">
        <v>56</v>
      </c>
      <c r="C29" s="99"/>
      <c r="D29" s="100">
        <f>D27-D28</f>
        <v>3860</v>
      </c>
      <c r="G29" t="s">
        <v>4</v>
      </c>
      <c r="H29" s="4">
        <f>I5</f>
        <v>8640</v>
      </c>
    </row>
    <row r="30" spans="2:10" hidden="1" x14ac:dyDescent="0.25">
      <c r="G30" t="s">
        <v>34</v>
      </c>
      <c r="H30" s="4">
        <f>I9</f>
        <v>-6998.4</v>
      </c>
    </row>
    <row r="31" spans="2:10" hidden="1" x14ac:dyDescent="0.25">
      <c r="B31" t="s">
        <v>57</v>
      </c>
      <c r="D31" s="4">
        <f>I9</f>
        <v>-6998.4</v>
      </c>
      <c r="G31" s="99" t="s">
        <v>50</v>
      </c>
      <c r="H31" s="100">
        <f>SUM(H29:H30)</f>
        <v>1641.6000000000004</v>
      </c>
    </row>
    <row r="32" spans="2:10" hidden="1" x14ac:dyDescent="0.25">
      <c r="B32" t="s">
        <v>58</v>
      </c>
      <c r="D32" s="106">
        <f>D29</f>
        <v>3860</v>
      </c>
      <c r="G32" t="s">
        <v>48</v>
      </c>
      <c r="H32" s="4">
        <f>D6</f>
        <v>46350</v>
      </c>
    </row>
    <row r="33" spans="2:12" ht="15.75" hidden="1" thickBot="1" x14ac:dyDescent="0.3">
      <c r="B33" s="99" t="s">
        <v>59</v>
      </c>
      <c r="C33" s="100"/>
      <c r="D33" s="107">
        <f>D31-D32</f>
        <v>-10858.4</v>
      </c>
      <c r="E33" s="4"/>
      <c r="F33" s="4"/>
      <c r="G33" t="s">
        <v>51</v>
      </c>
      <c r="H33" s="4">
        <f>H31-H32</f>
        <v>-44708.4</v>
      </c>
      <c r="I33" s="101" t="s">
        <v>52</v>
      </c>
      <c r="J33" s="4">
        <f>H33*32.5%</f>
        <v>-14530.230000000001</v>
      </c>
    </row>
    <row r="34" spans="2:12" ht="15.75" hidden="1" thickTop="1" x14ac:dyDescent="0.25">
      <c r="B34" s="99"/>
      <c r="C34" s="100"/>
      <c r="D34" s="109"/>
      <c r="E34" s="4"/>
      <c r="F34" s="4"/>
      <c r="G34" t="s">
        <v>53</v>
      </c>
      <c r="H34" s="4">
        <f>H30-H33-D5</f>
        <v>35710</v>
      </c>
      <c r="I34" s="101"/>
      <c r="J34" s="4"/>
    </row>
    <row r="35" spans="2:12" ht="17.25" hidden="1" x14ac:dyDescent="0.4">
      <c r="C35" s="4"/>
      <c r="D35" s="110" t="s">
        <v>34</v>
      </c>
      <c r="E35" s="111" t="s">
        <v>63</v>
      </c>
      <c r="F35" s="4"/>
      <c r="H35" s="4"/>
      <c r="I35" s="101"/>
      <c r="J35" s="4"/>
    </row>
    <row r="36" spans="2:12" hidden="1" x14ac:dyDescent="0.25">
      <c r="B36" t="s">
        <v>60</v>
      </c>
      <c r="C36" s="4"/>
      <c r="D36" s="103">
        <v>2000</v>
      </c>
      <c r="E36" s="4">
        <v>0</v>
      </c>
      <c r="F36" s="4"/>
      <c r="J36" s="114"/>
      <c r="K36" s="114"/>
    </row>
    <row r="37" spans="2:12" hidden="1" x14ac:dyDescent="0.25">
      <c r="B37" t="s">
        <v>61</v>
      </c>
      <c r="C37" s="4"/>
      <c r="D37" s="102">
        <f>D8</f>
        <v>31850</v>
      </c>
      <c r="E37" s="4">
        <f>D37*J11</f>
        <v>2388.75</v>
      </c>
      <c r="F37" s="4"/>
      <c r="G37" s="4"/>
      <c r="J37" s="114"/>
      <c r="K37" s="114"/>
      <c r="L37" s="4"/>
    </row>
    <row r="38" spans="2:12" hidden="1" x14ac:dyDescent="0.25">
      <c r="B38" t="s">
        <v>62</v>
      </c>
      <c r="C38" s="4"/>
      <c r="D38" s="102">
        <f>D33-D36-D37</f>
        <v>-44708.4</v>
      </c>
      <c r="E38" s="4">
        <f>D38*J18</f>
        <v>-14530.230000000001</v>
      </c>
      <c r="F38" s="4"/>
      <c r="G38" s="4"/>
      <c r="J38" s="114"/>
      <c r="K38" s="114"/>
      <c r="L38" s="4"/>
    </row>
    <row r="39" spans="2:12" ht="15.75" hidden="1" thickBot="1" x14ac:dyDescent="0.3">
      <c r="B39" s="99" t="s">
        <v>57</v>
      </c>
      <c r="C39" s="100"/>
      <c r="D39" s="107">
        <f>SUM(D36:D38)</f>
        <v>-10858.400000000001</v>
      </c>
      <c r="E39" s="108">
        <f>SUM(E36:E38)</f>
        <v>-12141.480000000001</v>
      </c>
      <c r="F39" s="4"/>
      <c r="G39" s="4"/>
      <c r="J39" s="114"/>
      <c r="K39" s="114"/>
      <c r="L39" s="4"/>
    </row>
    <row r="40" spans="2:12" ht="15.75" hidden="1" thickTop="1" x14ac:dyDescent="0.25">
      <c r="C40" s="4"/>
      <c r="D40" s="103"/>
      <c r="E40" s="4"/>
      <c r="F40" s="4"/>
      <c r="G40" s="4"/>
    </row>
    <row r="41" spans="2:12" hidden="1" x14ac:dyDescent="0.25">
      <c r="C41" s="4"/>
      <c r="D41" s="101"/>
      <c r="E41" s="4"/>
      <c r="F41" s="4"/>
    </row>
    <row r="42" spans="2:12" hidden="1" x14ac:dyDescent="0.25">
      <c r="C42" s="4"/>
      <c r="D42" s="101"/>
      <c r="E42" s="4"/>
      <c r="F42" s="4"/>
    </row>
    <row r="43" spans="2:12" hidden="1" x14ac:dyDescent="0.25">
      <c r="C43" s="4"/>
      <c r="D43" s="101"/>
      <c r="E43" s="4"/>
      <c r="F43" s="4"/>
    </row>
    <row r="44" spans="2:12" hidden="1" x14ac:dyDescent="0.25">
      <c r="C44" s="4"/>
      <c r="D44" s="101"/>
      <c r="E44" s="4"/>
      <c r="F44" s="4"/>
    </row>
    <row r="45" spans="2:12" hidden="1" x14ac:dyDescent="0.25"/>
    <row r="46" spans="2:12" hidden="1" x14ac:dyDescent="0.25">
      <c r="D46" s="4"/>
    </row>
    <row r="47" spans="2:12" ht="18.75" x14ac:dyDescent="0.3">
      <c r="B47" s="77" t="s">
        <v>68</v>
      </c>
    </row>
    <row r="49" spans="2:7" x14ac:dyDescent="0.25">
      <c r="B49" t="s">
        <v>16</v>
      </c>
    </row>
    <row r="50" spans="2:7" ht="15.75" thickBot="1" x14ac:dyDescent="0.3"/>
    <row r="51" spans="2:7" x14ac:dyDescent="0.25">
      <c r="B51" s="50" t="s">
        <v>31</v>
      </c>
      <c r="C51" s="51"/>
      <c r="D51" s="59"/>
      <c r="E51" s="60" t="s">
        <v>43</v>
      </c>
      <c r="F51" s="60"/>
      <c r="G51" s="52"/>
    </row>
    <row r="52" spans="2:7" x14ac:dyDescent="0.25">
      <c r="B52" s="53" t="s">
        <v>32</v>
      </c>
      <c r="C52" s="54"/>
      <c r="D52" s="61">
        <v>0</v>
      </c>
      <c r="E52" s="62" t="s">
        <v>43</v>
      </c>
      <c r="F52" s="62"/>
      <c r="G52" s="55"/>
    </row>
    <row r="53" spans="2:7" ht="15.75" thickBot="1" x14ac:dyDescent="0.3">
      <c r="B53" s="73" t="s">
        <v>4</v>
      </c>
      <c r="C53" s="74"/>
      <c r="D53" s="76">
        <f>H29</f>
        <v>8640</v>
      </c>
      <c r="E53" s="76"/>
      <c r="F53" s="76"/>
      <c r="G53" s="58"/>
    </row>
    <row r="54" spans="2:7" ht="15.75" thickBot="1" x14ac:dyDescent="0.3">
      <c r="B54" s="56" t="s">
        <v>3</v>
      </c>
      <c r="C54" s="57"/>
      <c r="D54" s="71"/>
      <c r="E54" s="72">
        <f>D51-D52-D53</f>
        <v>-8640</v>
      </c>
      <c r="F54" s="72"/>
      <c r="G54" s="58"/>
    </row>
    <row r="55" spans="2:7" x14ac:dyDescent="0.25">
      <c r="B55" s="27"/>
      <c r="C55" s="27"/>
      <c r="D55" s="28"/>
      <c r="E55" s="21"/>
      <c r="F55" s="21"/>
    </row>
    <row r="56" spans="2:7" ht="15.75" thickBot="1" x14ac:dyDescent="0.3"/>
    <row r="57" spans="2:7" x14ac:dyDescent="0.25">
      <c r="B57" s="78" t="s">
        <v>41</v>
      </c>
      <c r="C57" s="79"/>
      <c r="D57" s="79"/>
      <c r="E57" s="79"/>
      <c r="F57" s="79"/>
      <c r="G57" s="80"/>
    </row>
    <row r="58" spans="2:7" ht="17.25" x14ac:dyDescent="0.4">
      <c r="B58" s="81"/>
      <c r="C58" s="82"/>
      <c r="D58" s="83" t="s">
        <v>36</v>
      </c>
      <c r="E58" s="84" t="s">
        <v>37</v>
      </c>
      <c r="F58" s="84"/>
      <c r="G58" s="85" t="s">
        <v>38</v>
      </c>
    </row>
    <row r="59" spans="2:7" x14ac:dyDescent="0.25">
      <c r="B59" s="81" t="s">
        <v>4</v>
      </c>
      <c r="C59" s="82"/>
      <c r="D59" s="86">
        <f>I5</f>
        <v>8640</v>
      </c>
      <c r="E59" s="86">
        <f>D59/12</f>
        <v>720</v>
      </c>
      <c r="F59" s="86"/>
      <c r="G59" s="87">
        <f>D59/52</f>
        <v>166.15384615384616</v>
      </c>
    </row>
    <row r="60" spans="2:7" x14ac:dyDescent="0.25">
      <c r="B60" s="81" t="s">
        <v>34</v>
      </c>
      <c r="C60" s="82"/>
      <c r="D60" s="86">
        <f>I9</f>
        <v>-6998.4</v>
      </c>
      <c r="E60" s="86">
        <f>D60/12</f>
        <v>-583.19999999999993</v>
      </c>
      <c r="F60" s="86"/>
      <c r="G60" s="87">
        <f>D60/52</f>
        <v>-134.58461538461538</v>
      </c>
    </row>
    <row r="61" spans="2:7" x14ac:dyDescent="0.25">
      <c r="B61" s="89" t="s">
        <v>45</v>
      </c>
      <c r="C61" s="88"/>
      <c r="D61" s="92">
        <f>SUM(D59:D60)</f>
        <v>1641.6000000000004</v>
      </c>
      <c r="E61" s="92">
        <f t="shared" ref="E61:G61" si="0">SUM(E59:E60)</f>
        <v>136.80000000000007</v>
      </c>
      <c r="F61" s="92"/>
      <c r="G61" s="93">
        <f t="shared" si="0"/>
        <v>31.569230769230785</v>
      </c>
    </row>
    <row r="62" spans="2:7" ht="15.75" thickBot="1" x14ac:dyDescent="0.3">
      <c r="B62" s="89" t="s">
        <v>44</v>
      </c>
      <c r="C62" s="88"/>
      <c r="D62" s="90">
        <f>-D77</f>
        <v>0</v>
      </c>
      <c r="E62" s="90">
        <f>-E77</f>
        <v>0</v>
      </c>
      <c r="F62" s="90"/>
      <c r="G62" s="91">
        <f>-G77</f>
        <v>0</v>
      </c>
    </row>
    <row r="63" spans="2:7" ht="16.5" thickBot="1" x14ac:dyDescent="0.3">
      <c r="B63" s="94" t="s">
        <v>46</v>
      </c>
      <c r="C63" s="95"/>
      <c r="D63" s="96">
        <f>SUM(D61:D62)</f>
        <v>1641.6000000000004</v>
      </c>
      <c r="E63" s="97">
        <f t="shared" ref="E63:G63" si="1">SUM(E61:E62)</f>
        <v>136.80000000000007</v>
      </c>
      <c r="F63" s="97"/>
      <c r="G63" s="96">
        <f t="shared" si="1"/>
        <v>31.569230769230785</v>
      </c>
    </row>
    <row r="66" spans="2:7" ht="15.75" thickBot="1" x14ac:dyDescent="0.3"/>
    <row r="67" spans="2:7" x14ac:dyDescent="0.25">
      <c r="B67" s="30" t="s">
        <v>42</v>
      </c>
      <c r="C67" s="31"/>
      <c r="D67" s="31"/>
      <c r="E67" s="31"/>
      <c r="F67" s="31"/>
      <c r="G67" s="32"/>
    </row>
    <row r="68" spans="2:7" ht="17.25" x14ac:dyDescent="0.4">
      <c r="B68" s="33"/>
      <c r="C68" s="34"/>
      <c r="D68" s="35" t="s">
        <v>36</v>
      </c>
      <c r="E68" s="36" t="s">
        <v>37</v>
      </c>
      <c r="F68" s="36"/>
      <c r="G68" s="37" t="s">
        <v>38</v>
      </c>
    </row>
    <row r="69" spans="2:7" x14ac:dyDescent="0.25">
      <c r="B69" s="33" t="s">
        <v>35</v>
      </c>
      <c r="C69" s="34"/>
      <c r="D69" s="63">
        <f>I3</f>
        <v>0</v>
      </c>
      <c r="E69" s="63">
        <f>D69/12</f>
        <v>0</v>
      </c>
      <c r="F69" s="63"/>
      <c r="G69" s="64">
        <f>D69/52</f>
        <v>0</v>
      </c>
    </row>
    <row r="70" spans="2:7" ht="15.75" thickBot="1" x14ac:dyDescent="0.3">
      <c r="B70" s="33" t="s">
        <v>32</v>
      </c>
      <c r="C70" s="34"/>
      <c r="D70" s="63">
        <f>I4+I5</f>
        <v>8640</v>
      </c>
      <c r="E70" s="63">
        <f>D70/12</f>
        <v>720</v>
      </c>
      <c r="F70" s="63"/>
      <c r="G70" s="64">
        <f>D70/52</f>
        <v>166.15384615384616</v>
      </c>
    </row>
    <row r="71" spans="2:7" ht="15.75" thickBot="1" x14ac:dyDescent="0.3">
      <c r="B71" s="46" t="s">
        <v>40</v>
      </c>
      <c r="C71" s="47"/>
      <c r="D71" s="65">
        <f>D69-D70</f>
        <v>-8640</v>
      </c>
      <c r="E71" s="65">
        <f t="shared" ref="E71:G71" si="2">E69-E70</f>
        <v>-720</v>
      </c>
      <c r="F71" s="104"/>
      <c r="G71" s="66">
        <f t="shared" si="2"/>
        <v>-166.15384615384616</v>
      </c>
    </row>
    <row r="73" spans="2:7" ht="15.75" thickBot="1" x14ac:dyDescent="0.3"/>
    <row r="74" spans="2:7" x14ac:dyDescent="0.25">
      <c r="B74" s="38" t="s">
        <v>33</v>
      </c>
      <c r="C74" s="39"/>
      <c r="D74" s="39"/>
      <c r="E74" s="39"/>
      <c r="F74" s="39"/>
      <c r="G74" s="40"/>
    </row>
    <row r="75" spans="2:7" ht="17.25" x14ac:dyDescent="0.4">
      <c r="B75" s="41"/>
      <c r="C75" s="42"/>
      <c r="D75" s="43" t="s">
        <v>36</v>
      </c>
      <c r="E75" s="44" t="s">
        <v>37</v>
      </c>
      <c r="F75" s="44"/>
      <c r="G75" s="45" t="s">
        <v>38</v>
      </c>
    </row>
    <row r="76" spans="2:7" x14ac:dyDescent="0.25">
      <c r="B76" s="41" t="s">
        <v>0</v>
      </c>
      <c r="C76" s="42"/>
      <c r="D76" s="67">
        <f>J8</f>
        <v>-1641.6</v>
      </c>
      <c r="E76" s="67">
        <f>D76/12</f>
        <v>-136.79999999999998</v>
      </c>
      <c r="F76" s="67"/>
      <c r="G76" s="68">
        <f>D76/52</f>
        <v>-31.569230769230767</v>
      </c>
    </row>
    <row r="77" spans="2:7" ht="15.75" thickBot="1" x14ac:dyDescent="0.3">
      <c r="B77" s="41" t="s">
        <v>39</v>
      </c>
      <c r="C77" s="42"/>
      <c r="D77" s="67">
        <f>J16+J19</f>
        <v>0</v>
      </c>
      <c r="E77" s="67">
        <f>D77/12</f>
        <v>0</v>
      </c>
      <c r="F77" s="67"/>
      <c r="G77" s="68">
        <f>D77/52</f>
        <v>0</v>
      </c>
    </row>
    <row r="78" spans="2:7" ht="15.75" thickBot="1" x14ac:dyDescent="0.3">
      <c r="B78" s="48" t="s">
        <v>9</v>
      </c>
      <c r="C78" s="49"/>
      <c r="D78" s="69">
        <f>SUM(D76:D77)</f>
        <v>-1641.6</v>
      </c>
      <c r="E78" s="69">
        <f t="shared" ref="E78:G78" si="3">SUM(E76:E77)</f>
        <v>-136.79999999999998</v>
      </c>
      <c r="F78" s="105"/>
      <c r="G78" s="70">
        <f t="shared" si="3"/>
        <v>-31.569230769230767</v>
      </c>
    </row>
  </sheetData>
  <sheetProtection algorithmName="SHA-512" hashValue="jW8sRmfC5p/oGXiIAuHHO9wnbX5E2GkxfdMA8Bwpeq9XNV/2WYkixgS3vesOwEnr8LQ8cFAmJGqiBfNtW4DP6g==" saltValue="X4q8+rwfh8o1HX0XBhUu4A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DD2F8-9988-4A54-8CE5-47459F4F9DA3}">
  <dimension ref="A2:L82"/>
  <sheetViews>
    <sheetView showGridLines="0" topLeftCell="B10" zoomScale="80" zoomScaleNormal="80" workbookViewId="0">
      <selection activeCell="G12" sqref="G12"/>
    </sheetView>
  </sheetViews>
  <sheetFormatPr defaultRowHeight="15" x14ac:dyDescent="0.25"/>
  <cols>
    <col min="1" max="1" width="4.7109375" hidden="1" customWidth="1"/>
    <col min="2" max="2" width="19" customWidth="1"/>
    <col min="3" max="3" width="18.42578125" customWidth="1"/>
    <col min="4" max="4" width="12.28515625" customWidth="1"/>
    <col min="5" max="6" width="13.7109375" customWidth="1"/>
    <col min="7" max="7" width="19.140625" customWidth="1"/>
    <col min="8" max="8" width="11.7109375" customWidth="1"/>
    <col min="9" max="10" width="13.85546875" customWidth="1"/>
    <col min="12" max="12" width="11.28515625" bestFit="1" customWidth="1"/>
  </cols>
  <sheetData>
    <row r="2" spans="2:12" ht="18.75" x14ac:dyDescent="0.3">
      <c r="D2" s="20"/>
      <c r="J2" s="14" t="s">
        <v>15</v>
      </c>
    </row>
    <row r="3" spans="2:12" x14ac:dyDescent="0.25">
      <c r="G3" t="s">
        <v>31</v>
      </c>
      <c r="I3" s="2">
        <f>D55</f>
        <v>60000</v>
      </c>
    </row>
    <row r="4" spans="2:12" x14ac:dyDescent="0.25">
      <c r="B4" t="s">
        <v>0</v>
      </c>
      <c r="D4" s="1">
        <v>0.19</v>
      </c>
      <c r="G4" t="s">
        <v>32</v>
      </c>
      <c r="I4" s="3">
        <v>0</v>
      </c>
    </row>
    <row r="5" spans="2:12" x14ac:dyDescent="0.25">
      <c r="B5" t="s">
        <v>2</v>
      </c>
      <c r="D5" s="3">
        <v>2000</v>
      </c>
      <c r="G5" t="s">
        <v>4</v>
      </c>
      <c r="I5" s="3">
        <v>8640</v>
      </c>
    </row>
    <row r="6" spans="2:12" x14ac:dyDescent="0.25">
      <c r="B6" t="s">
        <v>65</v>
      </c>
      <c r="D6" s="3">
        <v>150000</v>
      </c>
      <c r="E6" s="113">
        <v>0.46</v>
      </c>
      <c r="I6" s="3"/>
    </row>
    <row r="7" spans="2:12" x14ac:dyDescent="0.25">
      <c r="B7" t="s">
        <v>48</v>
      </c>
      <c r="D7" s="3">
        <v>43430</v>
      </c>
      <c r="E7" s="113">
        <v>0.41</v>
      </c>
      <c r="G7" t="s">
        <v>5</v>
      </c>
      <c r="I7" s="2">
        <f>I3-I4-I5</f>
        <v>51360</v>
      </c>
    </row>
    <row r="8" spans="2:12" x14ac:dyDescent="0.25">
      <c r="B8" t="s">
        <v>66</v>
      </c>
      <c r="D8" s="3">
        <v>24994</v>
      </c>
      <c r="E8" s="113">
        <v>0.21</v>
      </c>
      <c r="G8" s="14" t="s">
        <v>0</v>
      </c>
      <c r="H8" s="14"/>
      <c r="I8" s="15"/>
      <c r="J8" s="15">
        <f>+I7*D4</f>
        <v>9758.4</v>
      </c>
    </row>
    <row r="9" spans="2:12" x14ac:dyDescent="0.25">
      <c r="B9" t="s">
        <v>67</v>
      </c>
      <c r="D9" s="3">
        <v>14549</v>
      </c>
      <c r="E9" s="113">
        <v>0.2</v>
      </c>
      <c r="G9" t="s">
        <v>6</v>
      </c>
      <c r="I9" s="2">
        <f>+I7-J8</f>
        <v>41601.599999999999</v>
      </c>
      <c r="J9" s="26" t="str">
        <f>IF((I9&lt;=D5),"No dividend tax payable","")</f>
        <v/>
      </c>
      <c r="L9" s="4"/>
    </row>
    <row r="10" spans="2:12" x14ac:dyDescent="0.25">
      <c r="B10" t="s">
        <v>7</v>
      </c>
      <c r="D10" s="98">
        <f>D7-D12</f>
        <v>31579</v>
      </c>
      <c r="G10" s="2"/>
      <c r="L10" s="4"/>
    </row>
    <row r="11" spans="2:12" x14ac:dyDescent="0.25">
      <c r="B11" t="s">
        <v>8</v>
      </c>
      <c r="D11" s="98">
        <f>+D10-D5</f>
        <v>29579</v>
      </c>
      <c r="G11" s="6" t="s">
        <v>27</v>
      </c>
      <c r="H11" s="7"/>
      <c r="I11" s="8">
        <f>+D10</f>
        <v>31579</v>
      </c>
      <c r="J11" s="9">
        <v>7.4999999999999997E-2</v>
      </c>
    </row>
    <row r="12" spans="2:12" x14ac:dyDescent="0.25">
      <c r="B12" t="s">
        <v>1</v>
      </c>
      <c r="D12" s="98">
        <v>11851</v>
      </c>
      <c r="G12" s="10" t="s">
        <v>17</v>
      </c>
      <c r="H12" s="7"/>
      <c r="I12" s="8">
        <f>IF((D20+D5)&lt;=D10,(D20+D5),D10)</f>
        <v>31579</v>
      </c>
      <c r="J12" s="9"/>
    </row>
    <row r="13" spans="2:12" x14ac:dyDescent="0.25">
      <c r="D13" s="3"/>
      <c r="G13" s="7" t="s">
        <v>18</v>
      </c>
      <c r="H13" s="7"/>
      <c r="I13" s="8">
        <f>-D5</f>
        <v>-2000</v>
      </c>
      <c r="J13" s="7"/>
    </row>
    <row r="14" spans="2:12" x14ac:dyDescent="0.25">
      <c r="G14" s="7"/>
      <c r="H14" s="7"/>
      <c r="I14" s="8"/>
      <c r="J14" s="7"/>
    </row>
    <row r="15" spans="2:12" x14ac:dyDescent="0.25">
      <c r="G15" s="7" t="s">
        <v>20</v>
      </c>
      <c r="H15" s="7"/>
      <c r="I15" s="8">
        <f>+D23</f>
        <v>0</v>
      </c>
      <c r="J15" s="7"/>
    </row>
    <row r="16" spans="2:12" x14ac:dyDescent="0.25">
      <c r="B16" s="25" t="s">
        <v>29</v>
      </c>
      <c r="D16" s="4"/>
      <c r="G16" s="19" t="s">
        <v>13</v>
      </c>
      <c r="H16" s="12"/>
      <c r="I16" s="13">
        <f>IF(SUM(I12:I15)&lt;=0,0,SUM(I12:I15))</f>
        <v>29579</v>
      </c>
      <c r="J16" s="13">
        <f>+I16*0.075</f>
        <v>2218.4249999999997</v>
      </c>
    </row>
    <row r="17" spans="2:10" x14ac:dyDescent="0.25">
      <c r="B17" t="s">
        <v>26</v>
      </c>
      <c r="D17" s="2">
        <f>IF((I9-D5)&lt;=0,0,(I9-D5))</f>
        <v>39601.599999999999</v>
      </c>
      <c r="E17" s="4"/>
      <c r="F17" s="4"/>
      <c r="G17" s="7"/>
      <c r="H17" s="7"/>
      <c r="I17" s="8"/>
      <c r="J17" s="7"/>
    </row>
    <row r="18" spans="2:10" x14ac:dyDescent="0.25">
      <c r="D18" s="2"/>
      <c r="G18" s="10" t="s">
        <v>28</v>
      </c>
      <c r="H18" s="10"/>
      <c r="I18" s="23" t="s">
        <v>22</v>
      </c>
      <c r="J18" s="11">
        <v>0.32500000000000001</v>
      </c>
    </row>
    <row r="19" spans="2:10" x14ac:dyDescent="0.25">
      <c r="B19" t="s">
        <v>10</v>
      </c>
      <c r="D19" s="2">
        <f>IF(D12-I5&lt;0,0,(D12-I5))</f>
        <v>3211</v>
      </c>
      <c r="G19" s="19" t="s">
        <v>14</v>
      </c>
      <c r="H19" s="19"/>
      <c r="I19" s="13">
        <f>IF((D21)&lt;=0,0,(D21))</f>
        <v>6811.5999999999985</v>
      </c>
      <c r="J19" s="13">
        <f>+I19*0.325</f>
        <v>2213.7699999999995</v>
      </c>
    </row>
    <row r="20" spans="2:10" x14ac:dyDescent="0.25">
      <c r="B20" s="21" t="s">
        <v>19</v>
      </c>
      <c r="C20" s="21"/>
      <c r="D20" s="22">
        <f>IF(I5&gt;D10,0,(D17-D19))</f>
        <v>36390.6</v>
      </c>
    </row>
    <row r="21" spans="2:10" x14ac:dyDescent="0.25">
      <c r="B21" t="s">
        <v>21</v>
      </c>
      <c r="D21" s="4">
        <f>IF((I9&lt;=D5),0,(D25-I11+D22+D24))</f>
        <v>6811.5999999999985</v>
      </c>
      <c r="G21" s="16" t="s">
        <v>9</v>
      </c>
      <c r="H21" s="17"/>
      <c r="I21" s="18">
        <f>+I19+I16</f>
        <v>36390.6</v>
      </c>
      <c r="J21" s="18">
        <f>+J19+J16+J8</f>
        <v>14190.594999999999</v>
      </c>
    </row>
    <row r="22" spans="2:10" x14ac:dyDescent="0.25">
      <c r="B22" t="s">
        <v>11</v>
      </c>
      <c r="D22" s="2">
        <f>IF((I5-D12)&lt;0,0,(I5-D12))</f>
        <v>0</v>
      </c>
      <c r="G22" s="19"/>
      <c r="H22" s="12"/>
      <c r="I22" s="29"/>
      <c r="J22" s="29"/>
    </row>
    <row r="23" spans="2:10" x14ac:dyDescent="0.25">
      <c r="B23" t="s">
        <v>30</v>
      </c>
      <c r="D23" s="2">
        <f>IF((D21&lt;=0),0,-D22)</f>
        <v>0</v>
      </c>
      <c r="G23" t="s">
        <v>23</v>
      </c>
      <c r="J23" s="5" t="e">
        <f>+J21/I4</f>
        <v>#DIV/0!</v>
      </c>
    </row>
    <row r="24" spans="2:10" x14ac:dyDescent="0.25">
      <c r="B24" t="s">
        <v>12</v>
      </c>
      <c r="D24" s="2">
        <f>IF(D22&gt;D11,(D10-D22),0)</f>
        <v>0</v>
      </c>
      <c r="G24" s="24" t="s">
        <v>24</v>
      </c>
      <c r="J24" s="5">
        <f>+(J19+J16)/I9</f>
        <v>0.10653905138263912</v>
      </c>
    </row>
    <row r="25" spans="2:10" x14ac:dyDescent="0.25">
      <c r="B25" t="s">
        <v>25</v>
      </c>
      <c r="D25" s="2">
        <f>IF((+I9-D19)&lt;=0,0,(+I9-D19))</f>
        <v>38390.6</v>
      </c>
    </row>
    <row r="26" spans="2:10" x14ac:dyDescent="0.25">
      <c r="D26" s="2"/>
    </row>
    <row r="28" spans="2:10" x14ac:dyDescent="0.25">
      <c r="C28" s="7"/>
      <c r="D28" s="8"/>
      <c r="G28" t="s">
        <v>49</v>
      </c>
    </row>
    <row r="29" spans="2:10" x14ac:dyDescent="0.25">
      <c r="B29" s="112" t="s">
        <v>64</v>
      </c>
      <c r="G29" t="s">
        <v>4</v>
      </c>
      <c r="H29" s="4">
        <f>I5</f>
        <v>8640</v>
      </c>
    </row>
    <row r="30" spans="2:10" x14ac:dyDescent="0.25">
      <c r="G30" t="s">
        <v>34</v>
      </c>
      <c r="H30" s="4">
        <f>I9</f>
        <v>41601.599999999999</v>
      </c>
    </row>
    <row r="31" spans="2:10" x14ac:dyDescent="0.25">
      <c r="B31" t="s">
        <v>54</v>
      </c>
      <c r="D31" s="4">
        <f>D12</f>
        <v>11851</v>
      </c>
      <c r="G31" s="99" t="s">
        <v>50</v>
      </c>
      <c r="H31" s="100">
        <f>SUM(H29:H30)</f>
        <v>50241.599999999999</v>
      </c>
    </row>
    <row r="32" spans="2:10" x14ac:dyDescent="0.25">
      <c r="B32" t="s">
        <v>55</v>
      </c>
      <c r="D32" s="4">
        <f>I5</f>
        <v>8640</v>
      </c>
      <c r="G32" t="s">
        <v>48</v>
      </c>
      <c r="H32" s="4">
        <f>D7</f>
        <v>43430</v>
      </c>
    </row>
    <row r="33" spans="2:10" x14ac:dyDescent="0.25">
      <c r="B33" s="99" t="s">
        <v>56</v>
      </c>
      <c r="C33" s="99"/>
      <c r="D33" s="100">
        <f>D31-D32</f>
        <v>3211</v>
      </c>
      <c r="G33" t="s">
        <v>51</v>
      </c>
      <c r="H33" s="4">
        <f>H31-H32</f>
        <v>6811.5999999999985</v>
      </c>
      <c r="I33" s="101" t="s">
        <v>52</v>
      </c>
      <c r="J33" s="4">
        <f>H33*32.5%</f>
        <v>2213.7699999999995</v>
      </c>
    </row>
    <row r="34" spans="2:10" x14ac:dyDescent="0.25">
      <c r="G34" t="s">
        <v>53</v>
      </c>
      <c r="H34" s="4">
        <f>H30-H33-D5</f>
        <v>32790</v>
      </c>
      <c r="I34" s="101"/>
      <c r="J34" s="4"/>
    </row>
    <row r="35" spans="2:10" x14ac:dyDescent="0.25">
      <c r="B35" t="s">
        <v>57</v>
      </c>
      <c r="D35" s="4">
        <f>I9</f>
        <v>41601.599999999999</v>
      </c>
      <c r="H35" s="4"/>
      <c r="I35" s="101"/>
      <c r="J35" s="4"/>
    </row>
    <row r="36" spans="2:10" x14ac:dyDescent="0.25">
      <c r="B36" t="s">
        <v>58</v>
      </c>
      <c r="D36" s="106">
        <f>D33</f>
        <v>3211</v>
      </c>
    </row>
    <row r="37" spans="2:10" ht="15.75" thickBot="1" x14ac:dyDescent="0.3">
      <c r="B37" s="99" t="s">
        <v>59</v>
      </c>
      <c r="C37" s="100"/>
      <c r="D37" s="107">
        <f>D35-D36</f>
        <v>38390.6</v>
      </c>
      <c r="E37" s="4"/>
      <c r="F37" s="4"/>
    </row>
    <row r="38" spans="2:10" ht="15.75" thickTop="1" x14ac:dyDescent="0.25">
      <c r="B38" s="99"/>
      <c r="C38" s="100"/>
      <c r="D38" s="109"/>
      <c r="E38" s="4"/>
      <c r="F38" s="4"/>
    </row>
    <row r="39" spans="2:10" ht="17.25" x14ac:dyDescent="0.4">
      <c r="C39" s="4"/>
      <c r="D39" s="110" t="s">
        <v>34</v>
      </c>
      <c r="E39" s="111" t="s">
        <v>63</v>
      </c>
      <c r="F39" s="4"/>
    </row>
    <row r="40" spans="2:10" x14ac:dyDescent="0.25">
      <c r="B40" t="s">
        <v>60</v>
      </c>
      <c r="C40" s="4"/>
      <c r="D40" s="103">
        <v>2000</v>
      </c>
      <c r="E40" s="4">
        <v>0</v>
      </c>
      <c r="F40" s="4"/>
    </row>
    <row r="41" spans="2:10" x14ac:dyDescent="0.25">
      <c r="B41" t="s">
        <v>61</v>
      </c>
      <c r="C41" s="4"/>
      <c r="D41" s="102">
        <f>D11</f>
        <v>29579</v>
      </c>
      <c r="E41" s="4">
        <f>D41*J11</f>
        <v>2218.4249999999997</v>
      </c>
      <c r="F41" s="4"/>
    </row>
    <row r="42" spans="2:10" x14ac:dyDescent="0.25">
      <c r="B42" t="s">
        <v>62</v>
      </c>
      <c r="C42" s="4"/>
      <c r="D42" s="102">
        <f>D37-D40-D41</f>
        <v>6811.5999999999985</v>
      </c>
      <c r="E42" s="4">
        <f>D42*J18</f>
        <v>2213.7699999999995</v>
      </c>
      <c r="F42" s="4"/>
    </row>
    <row r="43" spans="2:10" ht="15.75" thickBot="1" x14ac:dyDescent="0.3">
      <c r="B43" s="99" t="s">
        <v>57</v>
      </c>
      <c r="C43" s="100"/>
      <c r="D43" s="107">
        <f>SUM(D40:D42)</f>
        <v>38390.6</v>
      </c>
      <c r="E43" s="108">
        <f>SUM(E40:E42)</f>
        <v>4432.1949999999997</v>
      </c>
      <c r="F43" s="4"/>
    </row>
    <row r="44" spans="2:10" ht="15.75" thickTop="1" x14ac:dyDescent="0.25">
      <c r="C44" s="4"/>
      <c r="D44" s="101"/>
      <c r="E44" s="4"/>
      <c r="F44" s="4"/>
    </row>
    <row r="45" spans="2:10" x14ac:dyDescent="0.25">
      <c r="C45" s="4"/>
      <c r="D45" s="101"/>
      <c r="E45" s="4"/>
      <c r="F45" s="4"/>
    </row>
    <row r="46" spans="2:10" x14ac:dyDescent="0.25">
      <c r="C46" s="4"/>
      <c r="D46" s="101"/>
      <c r="E46" s="4"/>
      <c r="F46" s="4"/>
    </row>
    <row r="47" spans="2:10" x14ac:dyDescent="0.25">
      <c r="C47" s="4"/>
      <c r="D47" s="101"/>
      <c r="E47" s="4"/>
      <c r="F47" s="4"/>
    </row>
    <row r="48" spans="2:10" x14ac:dyDescent="0.25">
      <c r="C48" s="4"/>
      <c r="D48" s="101"/>
      <c r="E48" s="4"/>
      <c r="F48" s="4"/>
    </row>
    <row r="51" spans="2:7" ht="18.75" x14ac:dyDescent="0.3">
      <c r="B51" s="77" t="s">
        <v>47</v>
      </c>
    </row>
    <row r="53" spans="2:7" x14ac:dyDescent="0.25">
      <c r="B53" t="s">
        <v>16</v>
      </c>
    </row>
    <row r="54" spans="2:7" ht="15.75" thickBot="1" x14ac:dyDescent="0.3"/>
    <row r="55" spans="2:7" x14ac:dyDescent="0.25">
      <c r="B55" s="50" t="s">
        <v>31</v>
      </c>
      <c r="C55" s="51"/>
      <c r="D55" s="59">
        <v>60000</v>
      </c>
      <c r="E55" s="60" t="s">
        <v>43</v>
      </c>
      <c r="F55" s="60"/>
      <c r="G55" s="52"/>
    </row>
    <row r="56" spans="2:7" x14ac:dyDescent="0.25">
      <c r="B56" s="53" t="s">
        <v>32</v>
      </c>
      <c r="C56" s="54"/>
      <c r="D56" s="61">
        <v>2000</v>
      </c>
      <c r="E56" s="62" t="s">
        <v>43</v>
      </c>
      <c r="F56" s="62"/>
      <c r="G56" s="55"/>
    </row>
    <row r="57" spans="2:7" ht="15.75" thickBot="1" x14ac:dyDescent="0.3">
      <c r="B57" s="73" t="s">
        <v>4</v>
      </c>
      <c r="C57" s="74"/>
      <c r="D57" s="75">
        <v>11850</v>
      </c>
      <c r="E57" s="76" t="s">
        <v>43</v>
      </c>
      <c r="F57" s="76"/>
      <c r="G57" s="58"/>
    </row>
    <row r="58" spans="2:7" ht="15.75" thickBot="1" x14ac:dyDescent="0.3">
      <c r="B58" s="56" t="s">
        <v>3</v>
      </c>
      <c r="C58" s="57"/>
      <c r="D58" s="71"/>
      <c r="E58" s="72">
        <f>D55-D56-D57</f>
        <v>46150</v>
      </c>
      <c r="F58" s="72"/>
      <c r="G58" s="58"/>
    </row>
    <row r="59" spans="2:7" x14ac:dyDescent="0.25">
      <c r="B59" s="27"/>
      <c r="C59" s="27"/>
      <c r="D59" s="28"/>
      <c r="E59" s="21"/>
      <c r="F59" s="21"/>
    </row>
    <row r="60" spans="2:7" ht="15.75" thickBot="1" x14ac:dyDescent="0.3"/>
    <row r="61" spans="2:7" x14ac:dyDescent="0.25">
      <c r="B61" s="78" t="s">
        <v>41</v>
      </c>
      <c r="C61" s="79"/>
      <c r="D61" s="79"/>
      <c r="E61" s="79"/>
      <c r="F61" s="79"/>
      <c r="G61" s="80"/>
    </row>
    <row r="62" spans="2:7" ht="17.25" x14ac:dyDescent="0.4">
      <c r="B62" s="81"/>
      <c r="C62" s="82"/>
      <c r="D62" s="83" t="s">
        <v>36</v>
      </c>
      <c r="E62" s="84" t="s">
        <v>37</v>
      </c>
      <c r="F62" s="84"/>
      <c r="G62" s="85" t="s">
        <v>38</v>
      </c>
    </row>
    <row r="63" spans="2:7" x14ac:dyDescent="0.25">
      <c r="B63" s="81" t="s">
        <v>4</v>
      </c>
      <c r="C63" s="82"/>
      <c r="D63" s="86">
        <f>I5</f>
        <v>8640</v>
      </c>
      <c r="E63" s="86">
        <f>D63/12</f>
        <v>720</v>
      </c>
      <c r="F63" s="86"/>
      <c r="G63" s="87">
        <f>D63/52</f>
        <v>166.15384615384616</v>
      </c>
    </row>
    <row r="64" spans="2:7" x14ac:dyDescent="0.25">
      <c r="B64" s="81" t="s">
        <v>34</v>
      </c>
      <c r="C64" s="82"/>
      <c r="D64" s="86">
        <f>I9</f>
        <v>41601.599999999999</v>
      </c>
      <c r="E64" s="86">
        <f>D64/12</f>
        <v>3466.7999999999997</v>
      </c>
      <c r="F64" s="86"/>
      <c r="G64" s="87">
        <f>D64/52</f>
        <v>800.03076923076924</v>
      </c>
    </row>
    <row r="65" spans="2:7" x14ac:dyDescent="0.25">
      <c r="B65" s="89" t="s">
        <v>45</v>
      </c>
      <c r="C65" s="88"/>
      <c r="D65" s="92">
        <f>SUM(D63:D64)</f>
        <v>50241.599999999999</v>
      </c>
      <c r="E65" s="92">
        <f t="shared" ref="E65:G65" si="0">SUM(E63:E64)</f>
        <v>4186.7999999999993</v>
      </c>
      <c r="F65" s="92"/>
      <c r="G65" s="93">
        <f t="shared" si="0"/>
        <v>966.18461538461543</v>
      </c>
    </row>
    <row r="66" spans="2:7" ht="15.75" thickBot="1" x14ac:dyDescent="0.3">
      <c r="B66" s="89" t="s">
        <v>44</v>
      </c>
      <c r="C66" s="88"/>
      <c r="D66" s="90">
        <f>-D81</f>
        <v>-4432.1949999999997</v>
      </c>
      <c r="E66" s="90">
        <f>-E81</f>
        <v>-369.34958333333333</v>
      </c>
      <c r="F66" s="90"/>
      <c r="G66" s="91">
        <f>-G81</f>
        <v>-85.234519230769223</v>
      </c>
    </row>
    <row r="67" spans="2:7" ht="16.5" thickBot="1" x14ac:dyDescent="0.3">
      <c r="B67" s="94" t="s">
        <v>46</v>
      </c>
      <c r="C67" s="95"/>
      <c r="D67" s="96">
        <f>SUM(D65:D66)</f>
        <v>45809.404999999999</v>
      </c>
      <c r="E67" s="97">
        <f t="shared" ref="E67:G67" si="1">SUM(E65:E66)</f>
        <v>3817.4504166666661</v>
      </c>
      <c r="F67" s="97"/>
      <c r="G67" s="96">
        <f t="shared" si="1"/>
        <v>880.95009615384618</v>
      </c>
    </row>
    <row r="70" spans="2:7" ht="15.75" thickBot="1" x14ac:dyDescent="0.3"/>
    <row r="71" spans="2:7" x14ac:dyDescent="0.25">
      <c r="B71" s="30" t="s">
        <v>42</v>
      </c>
      <c r="C71" s="31"/>
      <c r="D71" s="31"/>
      <c r="E71" s="31"/>
      <c r="F71" s="31"/>
      <c r="G71" s="32"/>
    </row>
    <row r="72" spans="2:7" ht="17.25" x14ac:dyDescent="0.4">
      <c r="B72" s="33"/>
      <c r="C72" s="34"/>
      <c r="D72" s="35" t="s">
        <v>36</v>
      </c>
      <c r="E72" s="36" t="s">
        <v>37</v>
      </c>
      <c r="F72" s="36"/>
      <c r="G72" s="37" t="s">
        <v>38</v>
      </c>
    </row>
    <row r="73" spans="2:7" x14ac:dyDescent="0.25">
      <c r="B73" s="33" t="s">
        <v>35</v>
      </c>
      <c r="C73" s="34"/>
      <c r="D73" s="63">
        <f>I3</f>
        <v>60000</v>
      </c>
      <c r="E73" s="63">
        <f>D73/12</f>
        <v>5000</v>
      </c>
      <c r="F73" s="63"/>
      <c r="G73" s="64">
        <f>D73/52</f>
        <v>1153.8461538461538</v>
      </c>
    </row>
    <row r="74" spans="2:7" ht="15.75" thickBot="1" x14ac:dyDescent="0.3">
      <c r="B74" s="33" t="s">
        <v>32</v>
      </c>
      <c r="C74" s="34"/>
      <c r="D74" s="63">
        <f>I4+I5</f>
        <v>8640</v>
      </c>
      <c r="E74" s="63">
        <f>D74/12</f>
        <v>720</v>
      </c>
      <c r="F74" s="63"/>
      <c r="G74" s="64">
        <f>D74/52</f>
        <v>166.15384615384616</v>
      </c>
    </row>
    <row r="75" spans="2:7" ht="15.75" thickBot="1" x14ac:dyDescent="0.3">
      <c r="B75" s="46" t="s">
        <v>40</v>
      </c>
      <c r="C75" s="47"/>
      <c r="D75" s="65">
        <f>D73-D74</f>
        <v>51360</v>
      </c>
      <c r="E75" s="65">
        <f t="shared" ref="E75:G75" si="2">E73-E74</f>
        <v>4280</v>
      </c>
      <c r="F75" s="104"/>
      <c r="G75" s="66">
        <f t="shared" si="2"/>
        <v>987.69230769230762</v>
      </c>
    </row>
    <row r="77" spans="2:7" ht="15.75" thickBot="1" x14ac:dyDescent="0.3"/>
    <row r="78" spans="2:7" x14ac:dyDescent="0.25">
      <c r="B78" s="38" t="s">
        <v>33</v>
      </c>
      <c r="C78" s="39"/>
      <c r="D78" s="39"/>
      <c r="E78" s="39"/>
      <c r="F78" s="39"/>
      <c r="G78" s="40"/>
    </row>
    <row r="79" spans="2:7" ht="17.25" x14ac:dyDescent="0.4">
      <c r="B79" s="41"/>
      <c r="C79" s="42"/>
      <c r="D79" s="43" t="s">
        <v>36</v>
      </c>
      <c r="E79" s="44" t="s">
        <v>37</v>
      </c>
      <c r="F79" s="44"/>
      <c r="G79" s="45" t="s">
        <v>38</v>
      </c>
    </row>
    <row r="80" spans="2:7" x14ac:dyDescent="0.25">
      <c r="B80" s="41" t="s">
        <v>0</v>
      </c>
      <c r="C80" s="42"/>
      <c r="D80" s="67">
        <f>J8</f>
        <v>9758.4</v>
      </c>
      <c r="E80" s="67">
        <f>D80/12</f>
        <v>813.19999999999993</v>
      </c>
      <c r="F80" s="67"/>
      <c r="G80" s="68">
        <f>D80/52</f>
        <v>187.66153846153844</v>
      </c>
    </row>
    <row r="81" spans="2:7" ht="15.75" thickBot="1" x14ac:dyDescent="0.3">
      <c r="B81" s="41" t="s">
        <v>39</v>
      </c>
      <c r="C81" s="42"/>
      <c r="D81" s="67">
        <f>J16+J19</f>
        <v>4432.1949999999997</v>
      </c>
      <c r="E81" s="67">
        <f>D81/12</f>
        <v>369.34958333333333</v>
      </c>
      <c r="F81" s="67"/>
      <c r="G81" s="68">
        <f>D81/52</f>
        <v>85.234519230769223</v>
      </c>
    </row>
    <row r="82" spans="2:7" ht="15.75" thickBot="1" x14ac:dyDescent="0.3">
      <c r="B82" s="48" t="s">
        <v>9</v>
      </c>
      <c r="C82" s="49"/>
      <c r="D82" s="69">
        <f>SUM(D80:D81)</f>
        <v>14190.594999999999</v>
      </c>
      <c r="E82" s="69">
        <f t="shared" ref="E82:G82" si="3">SUM(E80:E81)</f>
        <v>1182.5495833333332</v>
      </c>
      <c r="F82" s="105"/>
      <c r="G82" s="70">
        <f t="shared" si="3"/>
        <v>272.89605769230764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C310D-189F-4355-B5C7-B42E743842D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18-19 TAX CALC</vt:lpstr>
      <vt:lpstr>18-19 SCOTLAND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hale</dc:creator>
  <cp:lastModifiedBy>Nicholas Aderinto</cp:lastModifiedBy>
  <cp:lastPrinted>2019-07-12T13:44:52Z</cp:lastPrinted>
  <dcterms:created xsi:type="dcterms:W3CDTF">2017-12-08T08:57:26Z</dcterms:created>
  <dcterms:modified xsi:type="dcterms:W3CDTF">2020-05-08T16:39:31Z</dcterms:modified>
</cp:coreProperties>
</file>